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18855" windowHeight="11985" activeTab="1"/>
  </bookViews>
  <sheets>
    <sheet name="Chinese LCUs" sheetId="1" r:id="rId1"/>
    <sheet name="Dutch LCUs" sheetId="2" r:id="rId2"/>
    <sheet name="Malaya LCUs" sheetId="3" r:id="rId3"/>
    <sheet name="Luzon LCUs" sheetId="4" r:id="rId4"/>
    <sheet name="Phillipine Army Reinforcements" sheetId="5" r:id="rId5"/>
  </sheets>
  <calcPr calcId="124519"/>
</workbook>
</file>

<file path=xl/calcChain.xml><?xml version="1.0" encoding="utf-8"?>
<calcChain xmlns="http://schemas.openxmlformats.org/spreadsheetml/2006/main">
  <c r="B12" i="5"/>
  <c r="B11"/>
  <c r="B10"/>
  <c r="B9"/>
  <c r="B8"/>
  <c r="B7"/>
  <c r="B6"/>
  <c r="B5"/>
  <c r="B3"/>
  <c r="B4"/>
  <c r="B2"/>
  <c r="D39" i="4"/>
  <c r="D38"/>
  <c r="D37"/>
  <c r="D36"/>
  <c r="D35"/>
  <c r="D34"/>
  <c r="D33"/>
  <c r="D31"/>
  <c r="D29"/>
  <c r="D24"/>
  <c r="D22"/>
  <c r="D21"/>
  <c r="D20"/>
  <c r="D13"/>
  <c r="D11"/>
  <c r="D8"/>
  <c r="D7"/>
  <c r="D4"/>
  <c r="D3"/>
  <c r="D32"/>
  <c r="D30"/>
  <c r="D28"/>
  <c r="D27"/>
  <c r="D26"/>
  <c r="D25"/>
  <c r="D23"/>
  <c r="D19"/>
  <c r="D18"/>
  <c r="D17"/>
  <c r="D16"/>
  <c r="D15"/>
  <c r="D14"/>
  <c r="D12"/>
  <c r="D10"/>
  <c r="D9"/>
  <c r="D6"/>
  <c r="D5"/>
  <c r="D2"/>
  <c r="C53" i="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B94" i="2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B2" i="1"/>
  <c r="C1" s="1"/>
  <c r="E1" s="1"/>
  <c r="B3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C1" i="5" l="1"/>
  <c r="E1" s="1"/>
  <c r="E1" i="4"/>
  <c r="G1" s="1"/>
  <c r="D1" i="3"/>
  <c r="F1" s="1"/>
  <c r="C1" i="2"/>
  <c r="E1" s="1"/>
</calcChain>
</file>

<file path=xl/sharedStrings.xml><?xml version="1.0" encoding="utf-8"?>
<sst xmlns="http://schemas.openxmlformats.org/spreadsheetml/2006/main" count="556" uniqueCount="443">
  <si>
    <t>56th AT Gun Regiment</t>
  </si>
  <si>
    <t>49th AA Regiment</t>
  </si>
  <si>
    <t>41st AA Regiment</t>
  </si>
  <si>
    <t>4th Heavy Mortar Regiment</t>
  </si>
  <si>
    <t>3rd Heavy Mortar Regiment</t>
  </si>
  <si>
    <t>22nd Artillery Regiment</t>
  </si>
  <si>
    <t>20th Artillery Regiment</t>
  </si>
  <si>
    <t>18th Artillery Regiment</t>
  </si>
  <si>
    <t>7th Artillery Regiment</t>
  </si>
  <si>
    <t>1st Artillery Regiment</t>
  </si>
  <si>
    <t>57th AT Gun Regiment</t>
  </si>
  <si>
    <t>5th Construction Regiment</t>
  </si>
  <si>
    <t>6th Construction Regiment</t>
  </si>
  <si>
    <t>4th Construction Regiment</t>
  </si>
  <si>
    <t>16th Construction Regiment</t>
  </si>
  <si>
    <t>2nd Construction Regiment</t>
  </si>
  <si>
    <t>1st Construction Regiment</t>
  </si>
  <si>
    <t>7th Construction Regiment</t>
  </si>
  <si>
    <t>3rd Construction Regiment</t>
  </si>
  <si>
    <t>38th New Chinese Division</t>
  </si>
  <si>
    <t>39th New Chinese Division</t>
  </si>
  <si>
    <t>28th New Chinese Division</t>
  </si>
  <si>
    <t>66th Chinese Corps</t>
  </si>
  <si>
    <t>93rd Chinese Division</t>
  </si>
  <si>
    <t>55th Prov Chinese Division</t>
  </si>
  <si>
    <t>49th Chinese Division</t>
  </si>
  <si>
    <t>6th Chinese Corps</t>
  </si>
  <si>
    <t>2nd Reserve Division</t>
  </si>
  <si>
    <t>88th Chinese Division</t>
  </si>
  <si>
    <t>36th Chinese Division</t>
  </si>
  <si>
    <t>22nd New Chinese Division</t>
  </si>
  <si>
    <t>96th Chinese Division</t>
  </si>
  <si>
    <t>200th Chinese Division</t>
  </si>
  <si>
    <t>5th Chinese Corps</t>
  </si>
  <si>
    <t>21st Chinese Base Force</t>
  </si>
  <si>
    <t>20th Chinese Base Force</t>
  </si>
  <si>
    <t>19th Chinese Base Force</t>
  </si>
  <si>
    <t>18th Chinese Base Force</t>
  </si>
  <si>
    <t>17th Chinese Base Force</t>
  </si>
  <si>
    <t>16th Chinese Base Force</t>
  </si>
  <si>
    <t>15th Chinese Base Force</t>
  </si>
  <si>
    <t>14th Chinese Base Force</t>
  </si>
  <si>
    <t>13th Chinese Base Force</t>
  </si>
  <si>
    <t>12th Chinese Base Force</t>
  </si>
  <si>
    <t>11th Chinese Base Force</t>
  </si>
  <si>
    <t>10th Chinese Base Force</t>
  </si>
  <si>
    <t>9th Chinese Base Force</t>
  </si>
  <si>
    <t>8th Chinese Base Force</t>
  </si>
  <si>
    <t>7th Chinese Base Force</t>
  </si>
  <si>
    <t>6th Chinese Base Force</t>
  </si>
  <si>
    <t>5th Chinese Base Force</t>
  </si>
  <si>
    <t>4th Chinese Base Force</t>
  </si>
  <si>
    <t>3rd Chinese Base Force</t>
  </si>
  <si>
    <t>2nd Chinese Base Force</t>
  </si>
  <si>
    <t>1st Chinese Base Force</t>
  </si>
  <si>
    <t>3rd Prov Chinese Corps</t>
  </si>
  <si>
    <t>2nd Prov Chinese Corps</t>
  </si>
  <si>
    <t>8th New Chinese Corps</t>
  </si>
  <si>
    <t>7th New Chinese Corps</t>
  </si>
  <si>
    <t>5th New Chinese Corps</t>
  </si>
  <si>
    <t>3rd New Chinese Corps</t>
  </si>
  <si>
    <t>5th Chinese Cavalry Corps</t>
  </si>
  <si>
    <t>4th Chinese Cavalry Corps</t>
  </si>
  <si>
    <t>3rd Chinese Cavalry Corps</t>
  </si>
  <si>
    <t>1st Chinese Cavalry Corps</t>
  </si>
  <si>
    <t>100th Chinese Corps</t>
  </si>
  <si>
    <t>99th Chinese Corps</t>
  </si>
  <si>
    <t>98th Chinese Corps</t>
  </si>
  <si>
    <t>2nd Chinese Cavalry Corps</t>
  </si>
  <si>
    <t>96th Chinese Corps</t>
  </si>
  <si>
    <t>95th Chinese Corps</t>
  </si>
  <si>
    <t>94th Chinese Corps</t>
  </si>
  <si>
    <t>93rd Chinese Corps</t>
  </si>
  <si>
    <t>92nd Chinese Corps</t>
  </si>
  <si>
    <t>90th Chinese Corps</t>
  </si>
  <si>
    <t>89th Chinese Corps</t>
  </si>
  <si>
    <t>88th Chinese Corps</t>
  </si>
  <si>
    <t>87th Chinese Corps</t>
  </si>
  <si>
    <t>86th Chinese Corps</t>
  </si>
  <si>
    <t>85th Chinese Corps</t>
  </si>
  <si>
    <t>84th Chinese Corps</t>
  </si>
  <si>
    <t>83rd Chinese Corps</t>
  </si>
  <si>
    <t>82nd Chinese Corps</t>
  </si>
  <si>
    <t>81st Chinese Corps</t>
  </si>
  <si>
    <t>34th Separate Brigade</t>
  </si>
  <si>
    <t>9th Separate Brigade</t>
  </si>
  <si>
    <t>259th Brigade</t>
  </si>
  <si>
    <t>303rd Brigade</t>
  </si>
  <si>
    <t>80th Chinese Corps</t>
  </si>
  <si>
    <t>79th Chinese Corps</t>
  </si>
  <si>
    <t>78th Chinese Corps</t>
  </si>
  <si>
    <t>77th Chinese Corps</t>
  </si>
  <si>
    <t>76th Chinese Corps</t>
  </si>
  <si>
    <t>75th Chinese Corps</t>
  </si>
  <si>
    <t>74th Chinese Corps</t>
  </si>
  <si>
    <t>73rd Chinese Corps</t>
  </si>
  <si>
    <t>72nd Chinese Corps</t>
  </si>
  <si>
    <t>71st Chinese Corps</t>
  </si>
  <si>
    <t>70th Chinese Corps</t>
  </si>
  <si>
    <t>69th Chinese Corps</t>
  </si>
  <si>
    <t>68th Chinese Corps</t>
  </si>
  <si>
    <t>67th Chinese Corps</t>
  </si>
  <si>
    <t>9th Prov Chinese Corps</t>
  </si>
  <si>
    <t>65th Chinese Corps</t>
  </si>
  <si>
    <t>64th Chinese Corps</t>
  </si>
  <si>
    <t>63rd Chinese Corps</t>
  </si>
  <si>
    <t>62nd Chinese Corps</t>
  </si>
  <si>
    <t>61st Chinese Corps</t>
  </si>
  <si>
    <t>60th Chinese Corps</t>
  </si>
  <si>
    <t>59th Chinese Corps</t>
  </si>
  <si>
    <t>58th Chinese Corps</t>
  </si>
  <si>
    <t>57th Chinese Corps</t>
  </si>
  <si>
    <t>56th Chinese Corps</t>
  </si>
  <si>
    <t>55th Chinese Corps</t>
  </si>
  <si>
    <t>54th Chinese Corps</t>
  </si>
  <si>
    <t>53rd Chinese Corps</t>
  </si>
  <si>
    <t>52nd Chinese Corps</t>
  </si>
  <si>
    <t>51st Chinese Corps</t>
  </si>
  <si>
    <t>8th Route Army</t>
  </si>
  <si>
    <t>129th Red Chinese Division</t>
  </si>
  <si>
    <t>120th Red Chinese Division</t>
  </si>
  <si>
    <t>115th Red Chinese Division</t>
  </si>
  <si>
    <t>50th Chinese Corps</t>
  </si>
  <si>
    <t>49th Chinese Corps</t>
  </si>
  <si>
    <t>48th Chinese Corps</t>
  </si>
  <si>
    <t>47th Chinese Corps</t>
  </si>
  <si>
    <t>46th Chinese Corps</t>
  </si>
  <si>
    <t>45th Chinese Corps</t>
  </si>
  <si>
    <t>44th Chinese Corps</t>
  </si>
  <si>
    <t>43rd Chinese Corps</t>
  </si>
  <si>
    <t>42nd Chinese Corps</t>
  </si>
  <si>
    <t>41st Chinese Corps</t>
  </si>
  <si>
    <t>40th Chinese Corps</t>
  </si>
  <si>
    <t>39th Chinese Corps</t>
  </si>
  <si>
    <t>38th Chinese Corps</t>
  </si>
  <si>
    <t>37th Chinese Corps</t>
  </si>
  <si>
    <t>36th Chinese Corps</t>
  </si>
  <si>
    <t>35th Chinese Corps</t>
  </si>
  <si>
    <t>34th Chinese Corps</t>
  </si>
  <si>
    <t>33rd Chinese Corps</t>
  </si>
  <si>
    <t>32nd Chinese Corps</t>
  </si>
  <si>
    <t>31st Chinese Corps</t>
  </si>
  <si>
    <t>30th Chinese Corps</t>
  </si>
  <si>
    <t>29th Chinese Corps</t>
  </si>
  <si>
    <t>28th Chinese Corps</t>
  </si>
  <si>
    <t>27th Chinese Corps</t>
  </si>
  <si>
    <t>26th Chinese Corps</t>
  </si>
  <si>
    <t>25th Chinese Corps</t>
  </si>
  <si>
    <t>24th Chinese Corps</t>
  </si>
  <si>
    <t>23rd Chinese Corps</t>
  </si>
  <si>
    <t>22nd Chinese Corps</t>
  </si>
  <si>
    <t>21st Chinese Corps</t>
  </si>
  <si>
    <t>20th Chinese Corps</t>
  </si>
  <si>
    <t>19th Chinese Corps</t>
  </si>
  <si>
    <t>18th Chinese Corps</t>
  </si>
  <si>
    <t>17th Chinese Corps</t>
  </si>
  <si>
    <t>16th Chinese Corps</t>
  </si>
  <si>
    <t>15th Chinese Corps</t>
  </si>
  <si>
    <t>14th Chinese Corps</t>
  </si>
  <si>
    <t>13th Chinese Corps</t>
  </si>
  <si>
    <t>12th Chinese Corps</t>
  </si>
  <si>
    <t>11th Chinese Corps</t>
  </si>
  <si>
    <t>10th Chinese Corps</t>
  </si>
  <si>
    <t>9th Chinese Corps</t>
  </si>
  <si>
    <t>8th Chinese Corps</t>
  </si>
  <si>
    <t>7th Chinese Corps</t>
  </si>
  <si>
    <t>4th Chinese Corps</t>
  </si>
  <si>
    <t>3rd Chinese Corps</t>
  </si>
  <si>
    <t>2nd Chinese Corps</t>
  </si>
  <si>
    <t>1st Chinese Corps</t>
  </si>
  <si>
    <t>39th Group Army</t>
  </si>
  <si>
    <t>36th Group Army</t>
  </si>
  <si>
    <t>35th Group Army</t>
  </si>
  <si>
    <t>34th Group Army</t>
  </si>
  <si>
    <t>33rd Group Army</t>
  </si>
  <si>
    <t>32nd Group Army</t>
  </si>
  <si>
    <t>31st Group Army</t>
  </si>
  <si>
    <t>30th Group Army</t>
  </si>
  <si>
    <t>29th Group Army</t>
  </si>
  <si>
    <t>27th Group Army</t>
  </si>
  <si>
    <t>26th Group Army</t>
  </si>
  <si>
    <t>25th Group Army</t>
  </si>
  <si>
    <t>24th Group Army</t>
  </si>
  <si>
    <t>23rd Group Army</t>
  </si>
  <si>
    <t>22nd Group Army</t>
  </si>
  <si>
    <t>21st Group Army</t>
  </si>
  <si>
    <t>20th Group Army</t>
  </si>
  <si>
    <t>19th Group Army</t>
  </si>
  <si>
    <t>18th Group Army</t>
  </si>
  <si>
    <t>17th Group Army</t>
  </si>
  <si>
    <t>16th Group Army</t>
  </si>
  <si>
    <t>Central Reserve</t>
  </si>
  <si>
    <t>15th Group Army</t>
  </si>
  <si>
    <t>14th Group Army</t>
  </si>
  <si>
    <t>13th Group Army</t>
  </si>
  <si>
    <t>12th Group Army</t>
  </si>
  <si>
    <t>11th Group Army</t>
  </si>
  <si>
    <t>10th Group Army</t>
  </si>
  <si>
    <t>9th Group Army</t>
  </si>
  <si>
    <t>8th Group Army</t>
  </si>
  <si>
    <t>7th Group Army</t>
  </si>
  <si>
    <t>6th Group Army</t>
  </si>
  <si>
    <t>4th Group Army</t>
  </si>
  <si>
    <t>3rd Group Army</t>
  </si>
  <si>
    <t>2nd Group Army</t>
  </si>
  <si>
    <t>1st Group Army</t>
  </si>
  <si>
    <t>Jingcha War Area</t>
  </si>
  <si>
    <t>Lusu War Area</t>
  </si>
  <si>
    <t>9th War Area</t>
  </si>
  <si>
    <t>8th War Area</t>
  </si>
  <si>
    <t>7th War Area</t>
  </si>
  <si>
    <t>6th War Area</t>
  </si>
  <si>
    <t>5th War Area</t>
  </si>
  <si>
    <t>4th War Area</t>
  </si>
  <si>
    <t>3rd War Area</t>
  </si>
  <si>
    <t>2nd War Area</t>
  </si>
  <si>
    <t>1st War Area</t>
  </si>
  <si>
    <t>Red Chinese Army</t>
  </si>
  <si>
    <t>China Command</t>
  </si>
  <si>
    <t>VPs=</t>
  </si>
  <si>
    <t>Total Devices</t>
  </si>
  <si>
    <t>Unit</t>
  </si>
  <si>
    <t>Molukken Garrison Battalion</t>
  </si>
  <si>
    <t>4th Coastal Gun Battalion</t>
  </si>
  <si>
    <t>Ambon Base Force</t>
  </si>
  <si>
    <t>VI KNIL Battalion</t>
  </si>
  <si>
    <t>Balikpapan Base Force</t>
  </si>
  <si>
    <t>SE Borneo KNIL Battalion</t>
  </si>
  <si>
    <t>Bandjermasin Base Force</t>
  </si>
  <si>
    <t>3rd KNIL AA Battalion</t>
  </si>
  <si>
    <t>4th KNIL Regiment</t>
  </si>
  <si>
    <t>Bandoeng Base Force</t>
  </si>
  <si>
    <t>Banjoewangi Base Force</t>
  </si>
  <si>
    <t>KNIL Army Command</t>
  </si>
  <si>
    <t>ML-KNIL</t>
  </si>
  <si>
    <t>1st Regt Cavalerie</t>
  </si>
  <si>
    <t>1st KNIL Regiment</t>
  </si>
  <si>
    <t>2nd KNIL Regiment</t>
  </si>
  <si>
    <t>Batavia Coastal Gun Battalion</t>
  </si>
  <si>
    <t>1st KNIL AA Battalion</t>
  </si>
  <si>
    <t>1 ML-KNIL Aviation</t>
  </si>
  <si>
    <t>1st KNIL Landstorm Battalion</t>
  </si>
  <si>
    <t>4th KNIL Landstorm Battalion</t>
  </si>
  <si>
    <t>Batavia Base Force</t>
  </si>
  <si>
    <t>Bengkalis Base Force</t>
  </si>
  <si>
    <t>Zuid KNIL Battalion</t>
  </si>
  <si>
    <t>Den Passer Base Force</t>
  </si>
  <si>
    <t>Djambi Base Force</t>
  </si>
  <si>
    <t>Djojakarta Base Force</t>
  </si>
  <si>
    <t>Kalidjati Base Force</t>
  </si>
  <si>
    <t>Kendari Garrison Battalion</t>
  </si>
  <si>
    <t>Kendari Base Force</t>
  </si>
  <si>
    <t>Timor Garrison Battalion</t>
  </si>
  <si>
    <t>Dili Detachment</t>
  </si>
  <si>
    <t>Koepang Base Force</t>
  </si>
  <si>
    <t>Langsa Base Force</t>
  </si>
  <si>
    <t>2nd KNIL AA Battalion</t>
  </si>
  <si>
    <t>Lautem Base Force</t>
  </si>
  <si>
    <t>6th KNIL Regiment</t>
  </si>
  <si>
    <t>Loemafjang Base Force</t>
  </si>
  <si>
    <t>Madion Base Force</t>
  </si>
  <si>
    <t>Makassar Garrison Battalion</t>
  </si>
  <si>
    <t>Makassar Base Force</t>
  </si>
  <si>
    <t>Malang Base Force</t>
  </si>
  <si>
    <t>Manado Garrison Battalion</t>
  </si>
  <si>
    <t>Manado Base Force</t>
  </si>
  <si>
    <t>Prajoda Garrison Battalion</t>
  </si>
  <si>
    <t>Mataram Base Force</t>
  </si>
  <si>
    <t>Medan Garrison Battalion</t>
  </si>
  <si>
    <t>Medan Coastal Gun Battalion</t>
  </si>
  <si>
    <t>Van Aaran Garrison Battalion</t>
  </si>
  <si>
    <t>Medan Base Force</t>
  </si>
  <si>
    <t>Merak Base Force</t>
  </si>
  <si>
    <t>Teloekbetoeng Base Force</t>
  </si>
  <si>
    <t>Padang Garrison Battalion</t>
  </si>
  <si>
    <t>Padang Base Force</t>
  </si>
  <si>
    <t>Pakanbaroe Det.</t>
  </si>
  <si>
    <t>So.Sumatra Garrison Battalion</t>
  </si>
  <si>
    <t>Palembang Base Force</t>
  </si>
  <si>
    <t>Barisan KNIL Regiment</t>
  </si>
  <si>
    <t>Pontianak Base Force</t>
  </si>
  <si>
    <t>Korps Marechausee Battalion</t>
  </si>
  <si>
    <t>Sabang Garrison Battalion</t>
  </si>
  <si>
    <t>2nd Garrison Battalion</t>
  </si>
  <si>
    <t>Sabang Base Force</t>
  </si>
  <si>
    <t>Samarinda KNIL Battalion</t>
  </si>
  <si>
    <t>Samarinda Base Force</t>
  </si>
  <si>
    <t>Sambas Base Force</t>
  </si>
  <si>
    <t>Semarang Base Force</t>
  </si>
  <si>
    <t>Tapanoeli Gsn Battalion</t>
  </si>
  <si>
    <t>West Borneo KNIL Battalion</t>
  </si>
  <si>
    <t>Singkawang Base Force</t>
  </si>
  <si>
    <t>Riouw KNIL Battalion</t>
  </si>
  <si>
    <t>MLD</t>
  </si>
  <si>
    <t>2 ML-KNIL Aviation</t>
  </si>
  <si>
    <t>2nd KNIL Landstorm Battalion</t>
  </si>
  <si>
    <t>Artilleriecommando Coastal Gun Battalion</t>
  </si>
  <si>
    <t>3rd KNIL Landstorm Battalion</t>
  </si>
  <si>
    <t>Marinier Battalion</t>
  </si>
  <si>
    <t>Commandement Marine</t>
  </si>
  <si>
    <t>Soerabaja Base Force</t>
  </si>
  <si>
    <t>Sorong Det. Base Force</t>
  </si>
  <si>
    <t>Bintan Det. Base Force</t>
  </si>
  <si>
    <t>VII KNIL Battalion</t>
  </si>
  <si>
    <t>Tarakan Coastal Gun Battalion</t>
  </si>
  <si>
    <t>Tarakan Base Force</t>
  </si>
  <si>
    <t>Ternate Det. Base Force</t>
  </si>
  <si>
    <t>Lijfwacht Cav Sqn</t>
  </si>
  <si>
    <t>Tjilatjap KNIL Battalion</t>
  </si>
  <si>
    <t>5th Coastal Gun Battalion</t>
  </si>
  <si>
    <t>Tjilitap Base Force</t>
  </si>
  <si>
    <t>Mobiele Eenheid Tank Battalion</t>
  </si>
  <si>
    <t>Roodenburg Battalion</t>
  </si>
  <si>
    <t>Van Altena Battalion</t>
  </si>
  <si>
    <t>Afdeling Ritman</t>
  </si>
  <si>
    <t>1st Mysore Battalion</t>
  </si>
  <si>
    <t>1st Hyderabad Battalion</t>
  </si>
  <si>
    <t>109th RAF  Base Force</t>
  </si>
  <si>
    <t>6th Indian Brigade</t>
  </si>
  <si>
    <t>15th Indian Brigade</t>
  </si>
  <si>
    <t>137/155th Field Regiment</t>
  </si>
  <si>
    <t>Penang Fortress</t>
  </si>
  <si>
    <t>5/14th Punjab Battalion</t>
  </si>
  <si>
    <t>3rd SSVF Battalion</t>
  </si>
  <si>
    <t>III Indian Corps</t>
  </si>
  <si>
    <t>29 Battery/3 HAA</t>
  </si>
  <si>
    <t>1st HK&amp;S Heavy AA Regiment</t>
  </si>
  <si>
    <t>27th Australian Brigade</t>
  </si>
  <si>
    <t>111th RAF Base Force</t>
  </si>
  <si>
    <t>FMSV Brigade</t>
  </si>
  <si>
    <t>3rd ISF Base Force</t>
  </si>
  <si>
    <t>8th Indian Brigade</t>
  </si>
  <si>
    <t>223 Group RAF</t>
  </si>
  <si>
    <t>2nd ISF Base Force</t>
  </si>
  <si>
    <t>109th RN Base Force</t>
  </si>
  <si>
    <t>3rd HK&amp;S Light AA Regiment</t>
  </si>
  <si>
    <t>1st ISF Base Force</t>
  </si>
  <si>
    <t>22nd Indian Brigade</t>
  </si>
  <si>
    <t>11 Battery/3 HAA</t>
  </si>
  <si>
    <t>112th RAF Base Force</t>
  </si>
  <si>
    <t>272/273rd Bty 80th AT Gun Regiment</t>
  </si>
  <si>
    <t>3/16th Punjab Battalion</t>
  </si>
  <si>
    <t>5/2nd Punjab Battalion</t>
  </si>
  <si>
    <t>30 Battery/3 HAA</t>
  </si>
  <si>
    <t>22nd Australian Brigade</t>
  </si>
  <si>
    <t>Malaya Army</t>
  </si>
  <si>
    <t>224 Group RAF</t>
  </si>
  <si>
    <t>1st Manchester Battalion</t>
  </si>
  <si>
    <t>2/17 Dogra Battalion</t>
  </si>
  <si>
    <t>2nd Gordons Battalion</t>
  </si>
  <si>
    <t>Singapore Base Force</t>
  </si>
  <si>
    <t>3rd Cavalry Tank Regiment</t>
  </si>
  <si>
    <t>2nd HK&amp;S Heavy AA Regiment</t>
  </si>
  <si>
    <t>1st Malay Battalion</t>
  </si>
  <si>
    <t>2nd Loyal Battalion</t>
  </si>
  <si>
    <t>1st Indian Heavy AA Regiment</t>
  </si>
  <si>
    <t>24th NZ Pioneer Coy</t>
  </si>
  <si>
    <t>SSVF Brigade</t>
  </si>
  <si>
    <t>Malayan Air Wing</t>
  </si>
  <si>
    <t>22nd Indian Mountain Gun Regiment</t>
  </si>
  <si>
    <t>2nd Malay Battalion</t>
  </si>
  <si>
    <t>Singapore Fortress</t>
  </si>
  <si>
    <t>110th RAF Base Force</t>
  </si>
  <si>
    <t>2/215th Bty 80th AT Gun Regiment</t>
  </si>
  <si>
    <t>28th Gurkha Brigade</t>
  </si>
  <si>
    <t>2nd Argylls Battalion</t>
  </si>
  <si>
    <t>5th Field Regiment</t>
  </si>
  <si>
    <t>49,77</t>
  </si>
  <si>
    <t>50,77</t>
  </si>
  <si>
    <t>Alor Star (49,73)</t>
  </si>
  <si>
    <t>Georgetown (49,74)</t>
  </si>
  <si>
    <t>Johore Bahru (50,83)</t>
  </si>
  <si>
    <t>Kota Bharu (51,75)</t>
  </si>
  <si>
    <t>Kuala Lumpur (49,79)</t>
  </si>
  <si>
    <t>Kuantan (51,79)</t>
  </si>
  <si>
    <t>Malacca (49,81)</t>
  </si>
  <si>
    <t>Mersing (51,82)</t>
  </si>
  <si>
    <t>Singapore (50,84)</t>
  </si>
  <si>
    <t>Taiping (49,75)</t>
  </si>
  <si>
    <t>Temuloh (50,78)</t>
  </si>
  <si>
    <t>Bataan USN Base Force</t>
  </si>
  <si>
    <t>2nd/45th PS Inf Battalion</t>
  </si>
  <si>
    <t>88th PS Field Artillery Regiment</t>
  </si>
  <si>
    <t>4th Marine Regiment</t>
  </si>
  <si>
    <t>Manila Bay Defenses</t>
  </si>
  <si>
    <t>41st PA Infantry Division</t>
  </si>
  <si>
    <t>PAF Aviation</t>
  </si>
  <si>
    <t>Far East USAAF</t>
  </si>
  <si>
    <t>Clark Field USAAF Base Force</t>
  </si>
  <si>
    <t>1st/45th PS Inf Battalion</t>
  </si>
  <si>
    <t>North Luzon Force</t>
  </si>
  <si>
    <t>26th PS Cavalry Regiment</t>
  </si>
  <si>
    <t>192nd Tank Tank Battalion</t>
  </si>
  <si>
    <t>194th Tank Tank Battalion</t>
  </si>
  <si>
    <t>200th Field AA Battalion</t>
  </si>
  <si>
    <t>803rd Engineer Aviation</t>
  </si>
  <si>
    <t>14th PS Engineer Regiment</t>
  </si>
  <si>
    <t>Subic Bay Defenses</t>
  </si>
  <si>
    <t>1st PI Base Force</t>
  </si>
  <si>
    <t>31st PA Infantry Division</t>
  </si>
  <si>
    <t>21st PA Infantry Division</t>
  </si>
  <si>
    <t>86th PS Coastal Artillery Battalion</t>
  </si>
  <si>
    <t>51st PA Infantry Division</t>
  </si>
  <si>
    <t>USAFFE</t>
  </si>
  <si>
    <t>Asiatic Fleet</t>
  </si>
  <si>
    <t>Cavite USN Base Force</t>
  </si>
  <si>
    <t>Manila USAAF Base Force</t>
  </si>
  <si>
    <t>3rd/45th PS Inf Battalion</t>
  </si>
  <si>
    <t>31st Infantry Regiment</t>
  </si>
  <si>
    <t>57th PS Infantry Regimental Combat Team</t>
  </si>
  <si>
    <t>South Luzon Force</t>
  </si>
  <si>
    <t>71st PA Infantry Division</t>
  </si>
  <si>
    <t>91st PA Infantry Division</t>
  </si>
  <si>
    <t>1st USMC AA Battalion</t>
  </si>
  <si>
    <t>1st PA Constabulary Regiment</t>
  </si>
  <si>
    <t>2nd PA Constabulary Regiment</t>
  </si>
  <si>
    <t>11th PA Infantry Division</t>
  </si>
  <si>
    <t>3rd/12th PA Inf Battalion</t>
  </si>
  <si>
    <t>Total Devices (adjusted)</t>
  </si>
  <si>
    <t>Bataan (78,77)</t>
  </si>
  <si>
    <t>Batangas (79,78)</t>
  </si>
  <si>
    <t>Clark Field (79,76)</t>
  </si>
  <si>
    <t>Iba (78,75)</t>
  </si>
  <si>
    <t>Lingayen (79,75)</t>
  </si>
  <si>
    <t>Lucena (79,79)</t>
  </si>
  <si>
    <t>Manila (79,77)</t>
  </si>
  <si>
    <t>San Fernando (80,74)</t>
  </si>
  <si>
    <t>Tuguegarao (82,74)</t>
  </si>
  <si>
    <t>US Navy</t>
  </si>
  <si>
    <t>Philippine</t>
  </si>
  <si>
    <t>US Marines</t>
  </si>
  <si>
    <t>US Army</t>
  </si>
  <si>
    <t>1st/101st PA Battalion</t>
  </si>
  <si>
    <t>2nd/101st PA Battalion</t>
  </si>
  <si>
    <t>3rd/101st PA Battalion</t>
  </si>
  <si>
    <t>1st PA Infantry Division</t>
  </si>
  <si>
    <t>301s PA Field Artillery Regiment</t>
  </si>
  <si>
    <t>201st PA Construction Battalion</t>
  </si>
  <si>
    <t>202nd PA Construction Battalion</t>
  </si>
  <si>
    <t>4th PA Constabulary Regiment</t>
  </si>
  <si>
    <t>2nd PA Constblry HW Regiment</t>
  </si>
  <si>
    <t>102nd PA Infantry Division</t>
  </si>
  <si>
    <t>301st Construction Battalion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</si>
</sst>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20"/>
  <sheetViews>
    <sheetView workbookViewId="0">
      <pane ySplit="1" topLeftCell="A161" activePane="bottomLeft" state="frozen"/>
      <selection pane="bottomLeft" activeCell="E1" sqref="E1"/>
    </sheetView>
  </sheetViews>
  <sheetFormatPr defaultRowHeight="15"/>
  <cols>
    <col min="1" max="1" width="26.140625" bestFit="1" customWidth="1"/>
    <col min="2" max="2" width="12.7109375" bestFit="1" customWidth="1"/>
    <col min="3" max="3" width="11.85546875" bestFit="1" customWidth="1"/>
  </cols>
  <sheetData>
    <row r="1" spans="1:5" s="1" customFormat="1">
      <c r="A1" s="1" t="s">
        <v>221</v>
      </c>
      <c r="B1" s="1" t="s">
        <v>220</v>
      </c>
      <c r="C1" s="1">
        <f>SUM(B:B)</f>
        <v>81162</v>
      </c>
      <c r="D1" s="2" t="s">
        <v>219</v>
      </c>
      <c r="E1" s="1">
        <f>C1/12</f>
        <v>6763.5</v>
      </c>
    </row>
    <row r="2" spans="1:5">
      <c r="A2" t="s">
        <v>218</v>
      </c>
      <c r="B2">
        <f>281+79+20</f>
        <v>380</v>
      </c>
    </row>
    <row r="3" spans="1:5">
      <c r="A3" t="s">
        <v>217</v>
      </c>
      <c r="B3">
        <f>183+57</f>
        <v>240</v>
      </c>
    </row>
    <row r="4" spans="1:5">
      <c r="A4" t="s">
        <v>216</v>
      </c>
      <c r="B4">
        <v>120</v>
      </c>
    </row>
    <row r="5" spans="1:5">
      <c r="A5" t="s">
        <v>215</v>
      </c>
      <c r="B5">
        <v>120</v>
      </c>
    </row>
    <row r="6" spans="1:5">
      <c r="A6" t="s">
        <v>214</v>
      </c>
      <c r="B6">
        <v>120</v>
      </c>
    </row>
    <row r="7" spans="1:5">
      <c r="A7" t="s">
        <v>213</v>
      </c>
      <c r="B7">
        <v>120</v>
      </c>
    </row>
    <row r="8" spans="1:5">
      <c r="A8" t="s">
        <v>212</v>
      </c>
      <c r="B8">
        <v>120</v>
      </c>
    </row>
    <row r="9" spans="1:5">
      <c r="A9" t="s">
        <v>211</v>
      </c>
      <c r="B9">
        <v>120</v>
      </c>
    </row>
    <row r="10" spans="1:5">
      <c r="A10" t="s">
        <v>210</v>
      </c>
      <c r="B10">
        <v>120</v>
      </c>
    </row>
    <row r="11" spans="1:5">
      <c r="A11" t="s">
        <v>209</v>
      </c>
      <c r="B11">
        <v>120</v>
      </c>
    </row>
    <row r="12" spans="1:5">
      <c r="A12" t="s">
        <v>208</v>
      </c>
      <c r="B12">
        <v>120</v>
      </c>
    </row>
    <row r="13" spans="1:5">
      <c r="A13" t="s">
        <v>207</v>
      </c>
      <c r="B13">
        <v>75</v>
      </c>
    </row>
    <row r="14" spans="1:5">
      <c r="A14" t="s">
        <v>206</v>
      </c>
      <c r="B14">
        <v>120</v>
      </c>
    </row>
    <row r="15" spans="1:5">
      <c r="A15" t="s">
        <v>205</v>
      </c>
      <c r="B15">
        <v>90</v>
      </c>
    </row>
    <row r="16" spans="1:5">
      <c r="A16" t="s">
        <v>204</v>
      </c>
      <c r="B16">
        <v>90</v>
      </c>
    </row>
    <row r="17" spans="1:2">
      <c r="A17" t="s">
        <v>203</v>
      </c>
      <c r="B17">
        <v>90</v>
      </c>
    </row>
    <row r="18" spans="1:2">
      <c r="A18" t="s">
        <v>202</v>
      </c>
      <c r="B18">
        <v>90</v>
      </c>
    </row>
    <row r="19" spans="1:2">
      <c r="A19" t="s">
        <v>201</v>
      </c>
      <c r="B19">
        <v>90</v>
      </c>
    </row>
    <row r="20" spans="1:2">
      <c r="A20" t="s">
        <v>200</v>
      </c>
      <c r="B20">
        <v>90</v>
      </c>
    </row>
    <row r="21" spans="1:2">
      <c r="A21" t="s">
        <v>199</v>
      </c>
      <c r="B21">
        <v>90</v>
      </c>
    </row>
    <row r="22" spans="1:2">
      <c r="A22" t="s">
        <v>198</v>
      </c>
      <c r="B22">
        <v>90</v>
      </c>
    </row>
    <row r="23" spans="1:2">
      <c r="A23" t="s">
        <v>197</v>
      </c>
      <c r="B23">
        <v>90</v>
      </c>
    </row>
    <row r="24" spans="1:2">
      <c r="A24" t="s">
        <v>196</v>
      </c>
      <c r="B24">
        <v>90</v>
      </c>
    </row>
    <row r="25" spans="1:2">
      <c r="A25" t="s">
        <v>195</v>
      </c>
      <c r="B25">
        <v>90</v>
      </c>
    </row>
    <row r="26" spans="1:2">
      <c r="A26" t="s">
        <v>194</v>
      </c>
      <c r="B26">
        <v>90</v>
      </c>
    </row>
    <row r="27" spans="1:2">
      <c r="A27" t="s">
        <v>193</v>
      </c>
      <c r="B27">
        <v>90</v>
      </c>
    </row>
    <row r="28" spans="1:2">
      <c r="A28" t="s">
        <v>192</v>
      </c>
      <c r="B28">
        <v>90</v>
      </c>
    </row>
    <row r="29" spans="1:2">
      <c r="A29" t="s">
        <v>191</v>
      </c>
      <c r="B29">
        <v>240</v>
      </c>
    </row>
    <row r="30" spans="1:2">
      <c r="A30" t="s">
        <v>190</v>
      </c>
      <c r="B30">
        <v>90</v>
      </c>
    </row>
    <row r="31" spans="1:2">
      <c r="A31" t="s">
        <v>189</v>
      </c>
      <c r="B31">
        <v>90</v>
      </c>
    </row>
    <row r="32" spans="1:2">
      <c r="A32" t="s">
        <v>188</v>
      </c>
      <c r="B32">
        <v>90</v>
      </c>
    </row>
    <row r="33" spans="1:2">
      <c r="A33" t="s">
        <v>187</v>
      </c>
      <c r="B33">
        <v>90</v>
      </c>
    </row>
    <row r="34" spans="1:2">
      <c r="A34" t="s">
        <v>186</v>
      </c>
      <c r="B34">
        <v>90</v>
      </c>
    </row>
    <row r="35" spans="1:2">
      <c r="A35" t="s">
        <v>185</v>
      </c>
      <c r="B35">
        <v>90</v>
      </c>
    </row>
    <row r="36" spans="1:2">
      <c r="A36" t="s">
        <v>184</v>
      </c>
      <c r="B36">
        <v>90</v>
      </c>
    </row>
    <row r="37" spans="1:2">
      <c r="A37" t="s">
        <v>183</v>
      </c>
      <c r="B37">
        <v>90</v>
      </c>
    </row>
    <row r="38" spans="1:2">
      <c r="A38" t="s">
        <v>182</v>
      </c>
      <c r="B38">
        <v>90</v>
      </c>
    </row>
    <row r="39" spans="1:2">
      <c r="A39" t="s">
        <v>181</v>
      </c>
      <c r="B39">
        <v>90</v>
      </c>
    </row>
    <row r="40" spans="1:2">
      <c r="A40" t="s">
        <v>180</v>
      </c>
      <c r="B40">
        <v>90</v>
      </c>
    </row>
    <row r="41" spans="1:2">
      <c r="A41" t="s">
        <v>179</v>
      </c>
      <c r="B41">
        <v>90</v>
      </c>
    </row>
    <row r="42" spans="1:2">
      <c r="A42" t="s">
        <v>178</v>
      </c>
      <c r="B42">
        <v>90</v>
      </c>
    </row>
    <row r="43" spans="1:2">
      <c r="A43" t="s">
        <v>177</v>
      </c>
      <c r="B43">
        <v>90</v>
      </c>
    </row>
    <row r="44" spans="1:2">
      <c r="A44" t="s">
        <v>176</v>
      </c>
      <c r="B44">
        <v>90</v>
      </c>
    </row>
    <row r="45" spans="1:2">
      <c r="A45" t="s">
        <v>175</v>
      </c>
      <c r="B45">
        <v>90</v>
      </c>
    </row>
    <row r="46" spans="1:2">
      <c r="A46" t="s">
        <v>174</v>
      </c>
      <c r="B46">
        <v>90</v>
      </c>
    </row>
    <row r="47" spans="1:2">
      <c r="A47" t="s">
        <v>173</v>
      </c>
      <c r="B47">
        <v>90</v>
      </c>
    </row>
    <row r="48" spans="1:2">
      <c r="A48" t="s">
        <v>172</v>
      </c>
      <c r="B48">
        <v>90</v>
      </c>
    </row>
    <row r="49" spans="1:2">
      <c r="A49" t="s">
        <v>171</v>
      </c>
      <c r="B49">
        <v>90</v>
      </c>
    </row>
    <row r="50" spans="1:2">
      <c r="A50" t="s">
        <v>170</v>
      </c>
      <c r="B50">
        <v>90</v>
      </c>
    </row>
    <row r="51" spans="1:2">
      <c r="A51" t="s">
        <v>169</v>
      </c>
      <c r="B51">
        <f>520+27+3+27+6+20+500</f>
        <v>1103</v>
      </c>
    </row>
    <row r="52" spans="1:2">
      <c r="A52" t="s">
        <v>168</v>
      </c>
      <c r="B52">
        <f>617+27+9+54+6+8+512</f>
        <v>1233</v>
      </c>
    </row>
    <row r="53" spans="1:2">
      <c r="A53" t="s">
        <v>167</v>
      </c>
      <c r="B53">
        <f>96+96+7+7+2+1+18+18+4+6+110+109</f>
        <v>474</v>
      </c>
    </row>
    <row r="54" spans="1:2">
      <c r="A54" t="s">
        <v>166</v>
      </c>
      <c r="B54">
        <f>199+198+27+6+24+8+24+380</f>
        <v>866</v>
      </c>
    </row>
    <row r="55" spans="1:2">
      <c r="A55" t="s">
        <v>165</v>
      </c>
      <c r="B55">
        <f>320+10+20+4+2+20+300</f>
        <v>676</v>
      </c>
    </row>
    <row r="56" spans="1:2">
      <c r="A56" t="s">
        <v>164</v>
      </c>
      <c r="B56">
        <f>309+308+14+13+9+27+27+6+6+12+12+520</f>
        <v>1263</v>
      </c>
    </row>
    <row r="57" spans="1:2">
      <c r="A57" t="s">
        <v>163</v>
      </c>
      <c r="B57">
        <f>350+8+4+8+4+20+380</f>
        <v>774</v>
      </c>
    </row>
    <row r="58" spans="1:2">
      <c r="A58" t="s">
        <v>162</v>
      </c>
      <c r="B58">
        <f>410+27+12+18+8+12+401</f>
        <v>888</v>
      </c>
    </row>
    <row r="59" spans="1:2">
      <c r="A59" t="s">
        <v>161</v>
      </c>
      <c r="B59">
        <f>96+96+14+3+36+4+8+219</f>
        <v>476</v>
      </c>
    </row>
    <row r="60" spans="1:2">
      <c r="A60" t="s">
        <v>160</v>
      </c>
      <c r="B60">
        <f>96+96+7+7+3+36+4+8+219</f>
        <v>476</v>
      </c>
    </row>
    <row r="61" spans="1:2">
      <c r="A61" t="s">
        <v>159</v>
      </c>
      <c r="B61">
        <f>617+27+9+54+12+24+430</f>
        <v>1173</v>
      </c>
    </row>
    <row r="62" spans="1:2">
      <c r="A62" t="s">
        <v>158</v>
      </c>
      <c r="B62">
        <f>400+18+18+18+27+18+40+36+169+168</f>
        <v>912</v>
      </c>
    </row>
    <row r="63" spans="1:2">
      <c r="A63" t="s">
        <v>157</v>
      </c>
      <c r="B63">
        <f>56+3+2+37+36</f>
        <v>134</v>
      </c>
    </row>
    <row r="64" spans="1:2">
      <c r="A64" t="s">
        <v>156</v>
      </c>
      <c r="B64">
        <f>199+198+27+6+24+8+24+401</f>
        <v>887</v>
      </c>
    </row>
    <row r="65" spans="1:2">
      <c r="A65" t="s">
        <v>155</v>
      </c>
      <c r="B65">
        <f>56+3+2+37+36</f>
        <v>134</v>
      </c>
    </row>
    <row r="66" spans="1:2">
      <c r="A66" t="s">
        <v>154</v>
      </c>
      <c r="B66">
        <f>417+417+27+6+6+27+27+12+30+260+259</f>
        <v>1488</v>
      </c>
    </row>
    <row r="67" spans="1:2">
      <c r="A67" t="s">
        <v>153</v>
      </c>
      <c r="B67">
        <f>96+96+7+7+3+36+4+24+219</f>
        <v>492</v>
      </c>
    </row>
    <row r="68" spans="1:2">
      <c r="A68" t="s">
        <v>152</v>
      </c>
      <c r="B68">
        <f>199+198+27+6+24+8+12+301</f>
        <v>775</v>
      </c>
    </row>
    <row r="69" spans="1:2">
      <c r="A69" t="s">
        <v>151</v>
      </c>
      <c r="B69">
        <f>96+96+14+3+36+4+24+219</f>
        <v>492</v>
      </c>
    </row>
    <row r="70" spans="1:2">
      <c r="A70" t="s">
        <v>150</v>
      </c>
      <c r="B70">
        <f>56+3+2+37+36</f>
        <v>134</v>
      </c>
    </row>
    <row r="71" spans="1:2">
      <c r="A71" t="s">
        <v>149</v>
      </c>
      <c r="B71">
        <f>55+2+37+36</f>
        <v>130</v>
      </c>
    </row>
    <row r="72" spans="1:2">
      <c r="A72" t="s">
        <v>148</v>
      </c>
      <c r="B72">
        <f>250+14+12+36+12+48+219</f>
        <v>591</v>
      </c>
    </row>
    <row r="73" spans="1:2">
      <c r="A73" t="s">
        <v>147</v>
      </c>
      <c r="B73">
        <f>199+198+27+6+24+8+24+401</f>
        <v>887</v>
      </c>
    </row>
    <row r="74" spans="1:2">
      <c r="A74" t="s">
        <v>146</v>
      </c>
      <c r="B74">
        <f>199+198+27+6+24+8+24+301</f>
        <v>787</v>
      </c>
    </row>
    <row r="75" spans="1:2">
      <c r="A75" t="s">
        <v>145</v>
      </c>
      <c r="B75">
        <f>199+198+27+6+24+8+24+401</f>
        <v>887</v>
      </c>
    </row>
    <row r="76" spans="1:2">
      <c r="A76" t="s">
        <v>144</v>
      </c>
      <c r="B76">
        <f>199+198+27+6+24+8+24+301</f>
        <v>787</v>
      </c>
    </row>
    <row r="77" spans="1:2">
      <c r="A77" t="s">
        <v>143</v>
      </c>
      <c r="B77">
        <f>199+198+27+6+24+8+12+301</f>
        <v>775</v>
      </c>
    </row>
    <row r="78" spans="1:2">
      <c r="A78" t="s">
        <v>142</v>
      </c>
      <c r="B78">
        <f>309+308+27+9+54+12+12+440</f>
        <v>1171</v>
      </c>
    </row>
    <row r="79" spans="1:2">
      <c r="A79" t="s">
        <v>141</v>
      </c>
      <c r="B79">
        <f>96+96+14+3+36+4+8+110+109</f>
        <v>476</v>
      </c>
    </row>
    <row r="80" spans="1:2">
      <c r="A80" t="s">
        <v>140</v>
      </c>
      <c r="B80">
        <f>96+96+14+3+36+4+24+110+109</f>
        <v>492</v>
      </c>
    </row>
    <row r="81" spans="1:2">
      <c r="A81" t="s">
        <v>139</v>
      </c>
      <c r="B81">
        <f>96+96+14+3+36+4+24+219</f>
        <v>492</v>
      </c>
    </row>
    <row r="82" spans="1:2">
      <c r="A82" t="s">
        <v>138</v>
      </c>
      <c r="B82">
        <f>96+96+14+3+36+4+24+219</f>
        <v>492</v>
      </c>
    </row>
    <row r="83" spans="1:2">
      <c r="A83" t="s">
        <v>137</v>
      </c>
      <c r="B83">
        <f>309+308+27+9+54+12+36+380</f>
        <v>1135</v>
      </c>
    </row>
    <row r="84" spans="1:2">
      <c r="A84" t="s">
        <v>136</v>
      </c>
      <c r="B84">
        <f>199+198+27+6+24+8+36+401</f>
        <v>899</v>
      </c>
    </row>
    <row r="85" spans="1:2">
      <c r="A85" t="s">
        <v>135</v>
      </c>
      <c r="B85">
        <f>199+198+14+13+6+24+8+36+176+175</f>
        <v>849</v>
      </c>
    </row>
    <row r="86" spans="1:2">
      <c r="A86" t="s">
        <v>134</v>
      </c>
      <c r="B86">
        <f>96+96+14+3+36+4+24+219</f>
        <v>492</v>
      </c>
    </row>
    <row r="87" spans="1:2">
      <c r="A87" t="s">
        <v>133</v>
      </c>
      <c r="B87">
        <f>55+2+37+36</f>
        <v>130</v>
      </c>
    </row>
    <row r="88" spans="1:2">
      <c r="A88" t="s">
        <v>132</v>
      </c>
      <c r="B88">
        <f>96+96+14+3+36+4+12+219</f>
        <v>480</v>
      </c>
    </row>
    <row r="89" spans="1:2">
      <c r="A89" t="s">
        <v>131</v>
      </c>
      <c r="B89">
        <f>318+79+27+6+24+8+24+301</f>
        <v>787</v>
      </c>
    </row>
    <row r="90" spans="1:2">
      <c r="A90" t="s">
        <v>130</v>
      </c>
      <c r="B90">
        <f>318+79+27+6+24+8+24+201</f>
        <v>687</v>
      </c>
    </row>
    <row r="91" spans="1:2">
      <c r="A91" t="s">
        <v>129</v>
      </c>
      <c r="B91">
        <f>42+28+18+44+29</f>
        <v>161</v>
      </c>
    </row>
    <row r="92" spans="1:2">
      <c r="A92" t="s">
        <v>128</v>
      </c>
      <c r="B92">
        <f>135+57+14+3+36+4+4+154+65</f>
        <v>472</v>
      </c>
    </row>
    <row r="93" spans="1:2">
      <c r="A93" t="s">
        <v>127</v>
      </c>
      <c r="B93">
        <f>135+57+14+3+26+10+4+4+154+65</f>
        <v>472</v>
      </c>
    </row>
    <row r="94" spans="1:2">
      <c r="A94" t="s">
        <v>126</v>
      </c>
      <c r="B94">
        <f>259+138+27+6+24+8+24+401</f>
        <v>887</v>
      </c>
    </row>
    <row r="95" spans="1:2">
      <c r="A95" t="s">
        <v>125</v>
      </c>
      <c r="B95">
        <f>135+57+14+3+36+4+8+154+65</f>
        <v>476</v>
      </c>
    </row>
    <row r="96" spans="1:2">
      <c r="A96" t="s">
        <v>124</v>
      </c>
      <c r="B96">
        <f>135+57+14+3+36+4+12+154+65</f>
        <v>480</v>
      </c>
    </row>
    <row r="97" spans="1:2">
      <c r="A97" t="s">
        <v>123</v>
      </c>
      <c r="B97">
        <f>135+57+14+3+36+4+12+154+65</f>
        <v>480</v>
      </c>
    </row>
    <row r="98" spans="1:2">
      <c r="A98" t="s">
        <v>122</v>
      </c>
      <c r="B98">
        <f>135+57+14+3+36+4+12+154+65</f>
        <v>480</v>
      </c>
    </row>
    <row r="99" spans="1:2">
      <c r="A99" t="s">
        <v>121</v>
      </c>
      <c r="B99">
        <f>23+22+2+4+4+2+6+80</f>
        <v>143</v>
      </c>
    </row>
    <row r="100" spans="1:2">
      <c r="A100" t="s">
        <v>120</v>
      </c>
      <c r="B100">
        <f>23+22+2+4+4+2+6+40+40</f>
        <v>143</v>
      </c>
    </row>
    <row r="101" spans="1:2">
      <c r="A101" t="s">
        <v>119</v>
      </c>
      <c r="B101">
        <f>45+2+4+4+2+6+80</f>
        <v>143</v>
      </c>
    </row>
    <row r="102" spans="1:2">
      <c r="A102" t="s">
        <v>118</v>
      </c>
      <c r="B102">
        <f>0</f>
        <v>0</v>
      </c>
    </row>
    <row r="103" spans="1:2">
      <c r="A103" t="s">
        <v>117</v>
      </c>
      <c r="B103">
        <f>27+18+2+44+29</f>
        <v>120</v>
      </c>
    </row>
    <row r="104" spans="1:2">
      <c r="A104" t="s">
        <v>116</v>
      </c>
      <c r="B104">
        <f>309+308+27+9+12+12+12+301</f>
        <v>990</v>
      </c>
    </row>
    <row r="105" spans="1:2">
      <c r="A105" t="s">
        <v>115</v>
      </c>
      <c r="B105">
        <f>318+79+27+6+24+8+36+401</f>
        <v>899</v>
      </c>
    </row>
    <row r="106" spans="1:2">
      <c r="A106" t="s">
        <v>114</v>
      </c>
      <c r="B106">
        <f>300+27+9+27+8+32+182+121</f>
        <v>706</v>
      </c>
    </row>
    <row r="107" spans="1:2">
      <c r="A107" t="s">
        <v>113</v>
      </c>
      <c r="B107">
        <f>135+57+14+3+36+4+12+154+65</f>
        <v>480</v>
      </c>
    </row>
    <row r="108" spans="1:2">
      <c r="A108" t="s">
        <v>112</v>
      </c>
      <c r="B108">
        <f>175+75+14+12+36+12+36+154+65</f>
        <v>579</v>
      </c>
    </row>
    <row r="109" spans="1:2">
      <c r="A109" t="s">
        <v>111</v>
      </c>
      <c r="B109">
        <f>239+158+27+6+24+8+36+401</f>
        <v>899</v>
      </c>
    </row>
    <row r="110" spans="1:2">
      <c r="A110" t="s">
        <v>110</v>
      </c>
      <c r="B110">
        <f>135+57+14+3+36+4+12+154+65</f>
        <v>480</v>
      </c>
    </row>
    <row r="111" spans="1:2">
      <c r="A111" t="s">
        <v>109</v>
      </c>
      <c r="B111">
        <f>371+246+27+9+33+21+12+29+19+350+233</f>
        <v>1350</v>
      </c>
    </row>
    <row r="112" spans="1:2">
      <c r="A112" t="s">
        <v>108</v>
      </c>
      <c r="B112">
        <f>239+158+17+10+6+24+8+36+241+160</f>
        <v>899</v>
      </c>
    </row>
    <row r="113" spans="1:2">
      <c r="A113" t="s">
        <v>107</v>
      </c>
      <c r="B113">
        <f>96+96+7+7+3+36+4+12+110+109</f>
        <v>480</v>
      </c>
    </row>
    <row r="114" spans="1:2">
      <c r="A114" t="s">
        <v>106</v>
      </c>
      <c r="B114">
        <f t="shared" ref="B114:B119" si="0">135+57+14+3+36+4+12+154+65</f>
        <v>480</v>
      </c>
    </row>
    <row r="115" spans="1:2">
      <c r="A115" t="s">
        <v>105</v>
      </c>
      <c r="B115">
        <f t="shared" si="0"/>
        <v>480</v>
      </c>
    </row>
    <row r="116" spans="1:2">
      <c r="A116" t="s">
        <v>104</v>
      </c>
      <c r="B116">
        <f t="shared" si="0"/>
        <v>480</v>
      </c>
    </row>
    <row r="117" spans="1:2">
      <c r="A117" t="s">
        <v>103</v>
      </c>
      <c r="B117">
        <f t="shared" si="0"/>
        <v>480</v>
      </c>
    </row>
    <row r="118" spans="1:2">
      <c r="A118" t="s">
        <v>102</v>
      </c>
      <c r="B118">
        <f t="shared" si="0"/>
        <v>480</v>
      </c>
    </row>
    <row r="119" spans="1:2">
      <c r="A119" t="s">
        <v>101</v>
      </c>
      <c r="B119">
        <f t="shared" si="0"/>
        <v>480</v>
      </c>
    </row>
    <row r="120" spans="1:2">
      <c r="A120" t="s">
        <v>100</v>
      </c>
      <c r="B120">
        <f>318+79+27+6+24+8+36+401</f>
        <v>899</v>
      </c>
    </row>
    <row r="121" spans="1:2">
      <c r="A121" t="s">
        <v>99</v>
      </c>
      <c r="B121">
        <f>50+44+29</f>
        <v>123</v>
      </c>
    </row>
    <row r="122" spans="1:2">
      <c r="A122" t="s">
        <v>98</v>
      </c>
      <c r="B122">
        <f>318+79+27+6+24+8+36+401</f>
        <v>899</v>
      </c>
    </row>
    <row r="123" spans="1:2">
      <c r="A123" t="s">
        <v>97</v>
      </c>
      <c r="B123">
        <f>225+225+12+12+12+12+8+27+12+401</f>
        <v>946</v>
      </c>
    </row>
    <row r="124" spans="1:2">
      <c r="A124" t="s">
        <v>96</v>
      </c>
      <c r="B124">
        <f>135+57+14+3+36+4+12+154+65</f>
        <v>480</v>
      </c>
    </row>
    <row r="125" spans="1:2">
      <c r="A125" t="s">
        <v>95</v>
      </c>
      <c r="B125">
        <f>199+198+14+13+6+24+8+36+401</f>
        <v>899</v>
      </c>
    </row>
    <row r="126" spans="1:2">
      <c r="A126" t="s">
        <v>94</v>
      </c>
      <c r="B126">
        <f>417+417+27+12+54+12+54+610</f>
        <v>1603</v>
      </c>
    </row>
    <row r="127" spans="1:2">
      <c r="A127" t="s">
        <v>93</v>
      </c>
      <c r="B127">
        <f>318+79+27+6+24+8+36+401</f>
        <v>899</v>
      </c>
    </row>
    <row r="128" spans="1:2">
      <c r="A128" t="s">
        <v>92</v>
      </c>
      <c r="B128">
        <f>318+79+27+6+24+8+36+401</f>
        <v>899</v>
      </c>
    </row>
    <row r="129" spans="1:2">
      <c r="A129" t="s">
        <v>91</v>
      </c>
      <c r="B129">
        <f>135+57+14+3+36+4+12+154+65</f>
        <v>480</v>
      </c>
    </row>
    <row r="130" spans="1:2">
      <c r="A130" t="s">
        <v>90</v>
      </c>
      <c r="B130">
        <f>135+57+14+3+36+4+12+154+65</f>
        <v>480</v>
      </c>
    </row>
    <row r="131" spans="1:2">
      <c r="A131" t="s">
        <v>89</v>
      </c>
      <c r="B131">
        <f>318+79+27+6+24+8+36+401</f>
        <v>899</v>
      </c>
    </row>
    <row r="132" spans="1:2">
      <c r="A132" t="s">
        <v>88</v>
      </c>
      <c r="B132">
        <f>51+21+6+57+24</f>
        <v>159</v>
      </c>
    </row>
    <row r="133" spans="1:2">
      <c r="A133" t="s">
        <v>87</v>
      </c>
      <c r="B133">
        <f>51+21+6+57+24</f>
        <v>159</v>
      </c>
    </row>
    <row r="134" spans="1:2">
      <c r="A134" t="s">
        <v>86</v>
      </c>
      <c r="B134">
        <f>51+21+6+57+24</f>
        <v>159</v>
      </c>
    </row>
    <row r="135" spans="1:2">
      <c r="A135" t="s">
        <v>85</v>
      </c>
      <c r="B135">
        <f>51+21+6+57+24</f>
        <v>159</v>
      </c>
    </row>
    <row r="136" spans="1:2">
      <c r="A136" t="s">
        <v>84</v>
      </c>
      <c r="B136">
        <f>51+21+6+57+24</f>
        <v>159</v>
      </c>
    </row>
    <row r="137" spans="1:2">
      <c r="A137" t="s">
        <v>83</v>
      </c>
      <c r="B137">
        <f>135+57+14+3+36+4+12+154+65</f>
        <v>480</v>
      </c>
    </row>
    <row r="138" spans="1:2">
      <c r="A138" t="s">
        <v>82</v>
      </c>
      <c r="B138">
        <f>251+166+27+9+33+21+12+29+19+230+153</f>
        <v>950</v>
      </c>
    </row>
    <row r="139" spans="1:2">
      <c r="A139" t="s">
        <v>81</v>
      </c>
      <c r="B139">
        <f>50+3+2+44+29</f>
        <v>128</v>
      </c>
    </row>
    <row r="140" spans="1:2">
      <c r="A140" t="s">
        <v>80</v>
      </c>
      <c r="B140">
        <f>135+57+10+4+3+36+4+24+154+65</f>
        <v>492</v>
      </c>
    </row>
    <row r="141" spans="1:2">
      <c r="A141" t="s">
        <v>79</v>
      </c>
      <c r="B141">
        <f>135+57+10+4+3+36+4+24+154+65</f>
        <v>492</v>
      </c>
    </row>
    <row r="142" spans="1:2">
      <c r="A142" t="s">
        <v>78</v>
      </c>
      <c r="B142">
        <f>238+59+27+6+24+8+36+301</f>
        <v>699</v>
      </c>
    </row>
    <row r="143" spans="1:2">
      <c r="A143" t="s">
        <v>77</v>
      </c>
      <c r="B143">
        <f>135+57+10+4+3+36+4+24+154+65</f>
        <v>492</v>
      </c>
    </row>
    <row r="144" spans="1:2">
      <c r="A144" t="s">
        <v>76</v>
      </c>
      <c r="B144">
        <f>135+57+14+3+36+4+12+154+65</f>
        <v>480</v>
      </c>
    </row>
    <row r="145" spans="1:2">
      <c r="A145" t="s">
        <v>75</v>
      </c>
      <c r="B145">
        <f>42+28+18+44+29</f>
        <v>161</v>
      </c>
    </row>
    <row r="146" spans="1:2">
      <c r="A146" t="s">
        <v>74</v>
      </c>
      <c r="B146">
        <f>135+57+10+4+3+36+4+24+154+65</f>
        <v>492</v>
      </c>
    </row>
    <row r="147" spans="1:2">
      <c r="A147" t="s">
        <v>73</v>
      </c>
      <c r="B147">
        <f>135+57+10+4+3+36+4+24+154+65</f>
        <v>492</v>
      </c>
    </row>
    <row r="148" spans="1:2">
      <c r="A148" t="s">
        <v>72</v>
      </c>
      <c r="B148">
        <f>318+79+27+6+24+8+36+301</f>
        <v>799</v>
      </c>
    </row>
    <row r="149" spans="1:2">
      <c r="A149" t="s">
        <v>71</v>
      </c>
      <c r="B149">
        <f>318+79+27+6+24+8+36+401</f>
        <v>899</v>
      </c>
    </row>
    <row r="150" spans="1:2">
      <c r="A150" t="s">
        <v>70</v>
      </c>
      <c r="B150">
        <f>224+96+28+12+72+18+48+219+93</f>
        <v>810</v>
      </c>
    </row>
    <row r="151" spans="1:2">
      <c r="A151" t="s">
        <v>69</v>
      </c>
      <c r="B151">
        <f>135+57+14+3+36+4+12+154+65</f>
        <v>480</v>
      </c>
    </row>
    <row r="152" spans="1:2">
      <c r="A152" t="s">
        <v>68</v>
      </c>
      <c r="B152">
        <f>14+135+57+36+3+154+65+4</f>
        <v>468</v>
      </c>
    </row>
    <row r="153" spans="1:2">
      <c r="A153" t="s">
        <v>67</v>
      </c>
      <c r="B153">
        <f>135+57+14+3+36+4+24+154+65</f>
        <v>492</v>
      </c>
    </row>
    <row r="154" spans="1:2">
      <c r="A154" t="s">
        <v>66</v>
      </c>
      <c r="B154">
        <f>318+79+27+6+24+8+58+14+401</f>
        <v>935</v>
      </c>
    </row>
    <row r="155" spans="1:2">
      <c r="A155" t="s">
        <v>65</v>
      </c>
      <c r="B155">
        <f>318+79+27+6+24+8+58+14+401</f>
        <v>935</v>
      </c>
    </row>
    <row r="156" spans="1:2">
      <c r="A156" t="s">
        <v>64</v>
      </c>
      <c r="B156">
        <f>14+135+57+48+6+154+65+12</f>
        <v>491</v>
      </c>
    </row>
    <row r="157" spans="1:2">
      <c r="A157" t="s">
        <v>63</v>
      </c>
      <c r="B157">
        <f>14+154+66+34+14+6+154+65+12</f>
        <v>519</v>
      </c>
    </row>
    <row r="158" spans="1:2">
      <c r="A158" t="s">
        <v>62</v>
      </c>
      <c r="B158">
        <f>14+135+57+36+3+154+65+4</f>
        <v>468</v>
      </c>
    </row>
    <row r="159" spans="1:2">
      <c r="A159" t="s">
        <v>61</v>
      </c>
      <c r="B159">
        <f>14+192+36+3+219+4</f>
        <v>468</v>
      </c>
    </row>
    <row r="160" spans="1:2">
      <c r="A160" t="s">
        <v>60</v>
      </c>
      <c r="B160">
        <f>300+12+12+12+18+12+27+12+154+65</f>
        <v>624</v>
      </c>
    </row>
    <row r="161" spans="1:2">
      <c r="A161" t="s">
        <v>59</v>
      </c>
      <c r="B161">
        <f>70+12+44+29</f>
        <v>155</v>
      </c>
    </row>
    <row r="162" spans="1:2">
      <c r="A162" t="s">
        <v>58</v>
      </c>
      <c r="B162">
        <f>45+30+4+44+28</f>
        <v>151</v>
      </c>
    </row>
    <row r="163" spans="1:2">
      <c r="A163" t="s">
        <v>57</v>
      </c>
      <c r="B163">
        <f>45+44+58</f>
        <v>147</v>
      </c>
    </row>
    <row r="164" spans="1:2">
      <c r="A164" t="s">
        <v>56</v>
      </c>
      <c r="B164">
        <f>135+57+14+3+36+4+24+154+65</f>
        <v>492</v>
      </c>
    </row>
    <row r="165" spans="1:2">
      <c r="A165" t="s">
        <v>55</v>
      </c>
      <c r="B165">
        <f>135+57+14+3+36+4+24+154+65</f>
        <v>492</v>
      </c>
    </row>
    <row r="166" spans="1:2">
      <c r="A166" t="s">
        <v>54</v>
      </c>
      <c r="B166">
        <f>40+2+1+15+210+90+70+30+36</f>
        <v>494</v>
      </c>
    </row>
    <row r="167" spans="1:2">
      <c r="A167" t="s">
        <v>53</v>
      </c>
      <c r="B167">
        <f>28+12+2+1+7+3+56+24+30</f>
        <v>163</v>
      </c>
    </row>
    <row r="168" spans="1:2">
      <c r="A168" t="s">
        <v>52</v>
      </c>
      <c r="B168">
        <f>40+2+1+10+100+30</f>
        <v>183</v>
      </c>
    </row>
    <row r="169" spans="1:2">
      <c r="A169" t="s">
        <v>51</v>
      </c>
      <c r="B169">
        <f>40+2+1+10+100+12</f>
        <v>165</v>
      </c>
    </row>
    <row r="170" spans="1:2">
      <c r="A170" t="s">
        <v>50</v>
      </c>
      <c r="B170">
        <f>40+2+1+10+100+30</f>
        <v>183</v>
      </c>
    </row>
    <row r="171" spans="1:2">
      <c r="A171" t="s">
        <v>49</v>
      </c>
      <c r="B171">
        <f>40+2+1+6+80+12</f>
        <v>141</v>
      </c>
    </row>
    <row r="172" spans="1:2">
      <c r="A172" t="s">
        <v>48</v>
      </c>
      <c r="B172">
        <f>40+2+1+6+80+12</f>
        <v>141</v>
      </c>
    </row>
    <row r="173" spans="1:2">
      <c r="A173" t="s">
        <v>47</v>
      </c>
      <c r="B173">
        <f>40+2+1+6+80+12</f>
        <v>141</v>
      </c>
    </row>
    <row r="174" spans="1:2">
      <c r="A174" t="s">
        <v>46</v>
      </c>
      <c r="B174">
        <f>40+2+1+6+56+24+12+12</f>
        <v>153</v>
      </c>
    </row>
    <row r="175" spans="1:2">
      <c r="A175" t="s">
        <v>45</v>
      </c>
      <c r="B175">
        <f>40+2+1+6+56+24+12+12</f>
        <v>153</v>
      </c>
    </row>
    <row r="176" spans="1:2">
      <c r="A176" t="s">
        <v>44</v>
      </c>
      <c r="B176">
        <f>40+2+1+6+56+24+12</f>
        <v>141</v>
      </c>
    </row>
    <row r="177" spans="1:2">
      <c r="A177" t="s">
        <v>43</v>
      </c>
      <c r="B177">
        <f>40+2+1+10+100+30+36</f>
        <v>219</v>
      </c>
    </row>
    <row r="178" spans="1:2">
      <c r="A178" t="s">
        <v>42</v>
      </c>
      <c r="B178">
        <f>40+2+1+6+56+24+24</f>
        <v>153</v>
      </c>
    </row>
    <row r="179" spans="1:2">
      <c r="A179" t="s">
        <v>41</v>
      </c>
      <c r="B179">
        <f>2+40+10+1+30+100</f>
        <v>183</v>
      </c>
    </row>
    <row r="180" spans="1:2">
      <c r="A180" t="s">
        <v>40</v>
      </c>
      <c r="B180">
        <f>1+40+100+10+4+30+8</f>
        <v>193</v>
      </c>
    </row>
    <row r="181" spans="1:2">
      <c r="A181" t="s">
        <v>39</v>
      </c>
      <c r="B181">
        <f>40+2+1+6+80+12</f>
        <v>141</v>
      </c>
    </row>
    <row r="182" spans="1:2">
      <c r="A182" t="s">
        <v>38</v>
      </c>
      <c r="B182">
        <f>40+2+1+10+100+30+24</f>
        <v>207</v>
      </c>
    </row>
    <row r="183" spans="1:2">
      <c r="A183" t="s">
        <v>37</v>
      </c>
      <c r="B183">
        <f>40+2+1+6+80+12</f>
        <v>141</v>
      </c>
    </row>
    <row r="184" spans="1:2">
      <c r="A184" t="s">
        <v>36</v>
      </c>
      <c r="B184">
        <f>2+40+6+1+12+80</f>
        <v>141</v>
      </c>
    </row>
    <row r="185" spans="1:2">
      <c r="A185" t="s">
        <v>35</v>
      </c>
      <c r="B185">
        <f>2+40+6+1+12+80</f>
        <v>141</v>
      </c>
    </row>
    <row r="186" spans="1:2">
      <c r="A186" t="s">
        <v>34</v>
      </c>
      <c r="B186">
        <f>2+40+6+1+12+80</f>
        <v>141</v>
      </c>
    </row>
    <row r="187" spans="1:2">
      <c r="A187" t="s">
        <v>33</v>
      </c>
      <c r="B187">
        <f>0</f>
        <v>0</v>
      </c>
    </row>
    <row r="188" spans="1:2">
      <c r="A188" t="s">
        <v>32</v>
      </c>
      <c r="B188">
        <f>30+6+4+70</f>
        <v>110</v>
      </c>
    </row>
    <row r="189" spans="1:2">
      <c r="A189" t="s">
        <v>31</v>
      </c>
      <c r="B189">
        <f>30+6+4+70</f>
        <v>110</v>
      </c>
    </row>
    <row r="190" spans="1:2">
      <c r="A190" t="s">
        <v>30</v>
      </c>
      <c r="B190">
        <f>30+65</f>
        <v>95</v>
      </c>
    </row>
    <row r="191" spans="1:2">
      <c r="A191" t="s">
        <v>29</v>
      </c>
      <c r="B191">
        <f>30+6+70</f>
        <v>106</v>
      </c>
    </row>
    <row r="192" spans="1:2">
      <c r="A192" t="s">
        <v>28</v>
      </c>
      <c r="B192">
        <f>40+6+4+60</f>
        <v>110</v>
      </c>
    </row>
    <row r="193" spans="1:2">
      <c r="A193" t="s">
        <v>27</v>
      </c>
      <c r="B193">
        <f>50+6+50</f>
        <v>106</v>
      </c>
    </row>
    <row r="194" spans="1:2">
      <c r="A194" t="s">
        <v>26</v>
      </c>
      <c r="B194">
        <f>0</f>
        <v>0</v>
      </c>
    </row>
    <row r="195" spans="1:2">
      <c r="A195" t="s">
        <v>25</v>
      </c>
      <c r="B195">
        <f>9+35+10+2+50+4</f>
        <v>110</v>
      </c>
    </row>
    <row r="196" spans="1:2">
      <c r="A196" t="s">
        <v>24</v>
      </c>
      <c r="B196">
        <f>4+35+12+2+55+4</f>
        <v>112</v>
      </c>
    </row>
    <row r="197" spans="1:2">
      <c r="A197" t="s">
        <v>23</v>
      </c>
      <c r="B197">
        <f>4+39+4+43+42</f>
        <v>132</v>
      </c>
    </row>
    <row r="198" spans="1:2">
      <c r="A198" t="s">
        <v>22</v>
      </c>
      <c r="B198">
        <f>0</f>
        <v>0</v>
      </c>
    </row>
    <row r="199" spans="1:2">
      <c r="A199" t="s">
        <v>21</v>
      </c>
      <c r="B199">
        <f>9+67+66+18+2+200+12</f>
        <v>374</v>
      </c>
    </row>
    <row r="200" spans="1:2">
      <c r="A200" t="s">
        <v>20</v>
      </c>
      <c r="B200">
        <f>9+67+66+18+2+200+12</f>
        <v>374</v>
      </c>
    </row>
    <row r="201" spans="1:2">
      <c r="A201" t="s">
        <v>19</v>
      </c>
      <c r="B201">
        <f>77+76+24+9+2+18+12+122+121</f>
        <v>461</v>
      </c>
    </row>
    <row r="202" spans="1:2">
      <c r="A202" t="s">
        <v>18</v>
      </c>
      <c r="B202">
        <f t="shared" ref="B202:B209" si="1">50+4+24</f>
        <v>78</v>
      </c>
    </row>
    <row r="203" spans="1:2">
      <c r="A203" t="s">
        <v>17</v>
      </c>
      <c r="B203">
        <f t="shared" si="1"/>
        <v>78</v>
      </c>
    </row>
    <row r="204" spans="1:2">
      <c r="A204" t="s">
        <v>16</v>
      </c>
      <c r="B204">
        <f t="shared" si="1"/>
        <v>78</v>
      </c>
    </row>
    <row r="205" spans="1:2">
      <c r="A205" t="s">
        <v>15</v>
      </c>
      <c r="B205">
        <f t="shared" si="1"/>
        <v>78</v>
      </c>
    </row>
    <row r="206" spans="1:2">
      <c r="A206" t="s">
        <v>14</v>
      </c>
      <c r="B206">
        <f t="shared" si="1"/>
        <v>78</v>
      </c>
    </row>
    <row r="207" spans="1:2">
      <c r="A207" t="s">
        <v>13</v>
      </c>
      <c r="B207">
        <f t="shared" si="1"/>
        <v>78</v>
      </c>
    </row>
    <row r="208" spans="1:2">
      <c r="A208" t="s">
        <v>12</v>
      </c>
      <c r="B208">
        <f t="shared" si="1"/>
        <v>78</v>
      </c>
    </row>
    <row r="209" spans="1:2">
      <c r="A209" t="s">
        <v>11</v>
      </c>
      <c r="B209">
        <f t="shared" si="1"/>
        <v>78</v>
      </c>
    </row>
    <row r="210" spans="1:2">
      <c r="A210" t="s">
        <v>10</v>
      </c>
      <c r="B210">
        <f>36+20</f>
        <v>56</v>
      </c>
    </row>
    <row r="211" spans="1:2">
      <c r="A211" t="s">
        <v>9</v>
      </c>
      <c r="B211">
        <f>8+8</f>
        <v>16</v>
      </c>
    </row>
    <row r="212" spans="1:2">
      <c r="A212" t="s">
        <v>8</v>
      </c>
      <c r="B212">
        <f>8+8</f>
        <v>16</v>
      </c>
    </row>
    <row r="213" spans="1:2">
      <c r="A213" t="s">
        <v>7</v>
      </c>
      <c r="B213">
        <f>8+8</f>
        <v>16</v>
      </c>
    </row>
    <row r="214" spans="1:2">
      <c r="A214" t="s">
        <v>6</v>
      </c>
      <c r="B214">
        <f>8+8</f>
        <v>16</v>
      </c>
    </row>
    <row r="215" spans="1:2">
      <c r="A215" t="s">
        <v>5</v>
      </c>
      <c r="B215">
        <f>8+8</f>
        <v>16</v>
      </c>
    </row>
    <row r="216" spans="1:2">
      <c r="A216" t="s">
        <v>4</v>
      </c>
      <c r="B216">
        <f>48+30</f>
        <v>78</v>
      </c>
    </row>
    <row r="217" spans="1:2">
      <c r="A217" t="s">
        <v>3</v>
      </c>
      <c r="B217">
        <f>48+30</f>
        <v>78</v>
      </c>
    </row>
    <row r="218" spans="1:2">
      <c r="A218" t="s">
        <v>2</v>
      </c>
      <c r="B218">
        <f>20+8+4+8+24</f>
        <v>64</v>
      </c>
    </row>
    <row r="219" spans="1:2">
      <c r="A219" t="s">
        <v>1</v>
      </c>
      <c r="B219">
        <f>20+8+4+8+24</f>
        <v>64</v>
      </c>
    </row>
    <row r="220" spans="1:2">
      <c r="A220" t="s">
        <v>0</v>
      </c>
      <c r="B220">
        <f>36+20</f>
        <v>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4"/>
  <sheetViews>
    <sheetView tabSelected="1" workbookViewId="0">
      <pane ySplit="1" topLeftCell="A2" activePane="bottomLeft" state="frozen"/>
      <selection pane="bottomLeft" activeCell="B21" sqref="B21"/>
    </sheetView>
  </sheetViews>
  <sheetFormatPr defaultRowHeight="15"/>
  <cols>
    <col min="1" max="1" width="39.140625" bestFit="1" customWidth="1"/>
    <col min="2" max="2" width="12.7109375" bestFit="1" customWidth="1"/>
  </cols>
  <sheetData>
    <row r="1" spans="1:5" s="3" customFormat="1">
      <c r="A1" s="3" t="s">
        <v>221</v>
      </c>
      <c r="B1" s="3" t="s">
        <v>220</v>
      </c>
      <c r="C1" s="3">
        <f>SUM(B:B)</f>
        <v>7709</v>
      </c>
      <c r="D1" s="4" t="s">
        <v>219</v>
      </c>
      <c r="E1" s="3">
        <f>C1/3</f>
        <v>2569.6666666666665</v>
      </c>
    </row>
    <row r="2" spans="1:5">
      <c r="A2" t="s">
        <v>222</v>
      </c>
      <c r="B2">
        <f>27+14+5+36+3</f>
        <v>85</v>
      </c>
    </row>
    <row r="3" spans="1:5">
      <c r="A3" t="s">
        <v>223</v>
      </c>
      <c r="B3">
        <f>24+18+4+8</f>
        <v>54</v>
      </c>
    </row>
    <row r="4" spans="1:5">
      <c r="A4" t="s">
        <v>224</v>
      </c>
      <c r="B4">
        <f>9+6+50+10+24+4</f>
        <v>103</v>
      </c>
    </row>
    <row r="5" spans="1:5">
      <c r="A5" t="s">
        <v>225</v>
      </c>
      <c r="B5">
        <f>6+1+39+3+8+3+21</f>
        <v>81</v>
      </c>
    </row>
    <row r="6" spans="1:5">
      <c r="A6" t="s">
        <v>226</v>
      </c>
      <c r="B6">
        <f>4+25+9+50+12+9+2+4</f>
        <v>115</v>
      </c>
    </row>
    <row r="7" spans="1:5">
      <c r="A7" t="s">
        <v>227</v>
      </c>
      <c r="B7">
        <f>30+1+33</f>
        <v>64</v>
      </c>
    </row>
    <row r="8" spans="1:5">
      <c r="A8" t="s">
        <v>228</v>
      </c>
      <c r="B8">
        <f>10+3+4</f>
        <v>17</v>
      </c>
    </row>
    <row r="9" spans="1:5">
      <c r="A9" t="s">
        <v>229</v>
      </c>
      <c r="B9">
        <f>24+12+2+4+12</f>
        <v>54</v>
      </c>
    </row>
    <row r="10" spans="1:5">
      <c r="A10" t="s">
        <v>230</v>
      </c>
      <c r="B10">
        <f>66+57+9+9+8+12+13+11+6+13+11+63+54</f>
        <v>332</v>
      </c>
    </row>
    <row r="11" spans="1:5">
      <c r="A11" t="s">
        <v>231</v>
      </c>
      <c r="B11">
        <f>1+1+15+5+4+30+4+4</f>
        <v>64</v>
      </c>
    </row>
    <row r="12" spans="1:5">
      <c r="A12" t="s">
        <v>232</v>
      </c>
      <c r="B12">
        <f>2+30+4+8</f>
        <v>44</v>
      </c>
    </row>
    <row r="13" spans="1:5">
      <c r="A13" t="s">
        <v>233</v>
      </c>
      <c r="B13">
        <f>240</f>
        <v>240</v>
      </c>
    </row>
    <row r="14" spans="1:5">
      <c r="A14" t="s">
        <v>234</v>
      </c>
      <c r="B14">
        <f>90</f>
        <v>90</v>
      </c>
    </row>
    <row r="15" spans="1:5">
      <c r="A15" t="s">
        <v>235</v>
      </c>
      <c r="B15">
        <f>36+3+8+39+12+21+9</f>
        <v>128</v>
      </c>
    </row>
    <row r="16" spans="1:5">
      <c r="A16" t="s">
        <v>236</v>
      </c>
      <c r="B16">
        <f>65+57+9+9+6+12+18+8+18+90</f>
        <v>292</v>
      </c>
    </row>
    <row r="17" spans="1:2">
      <c r="A17" t="s">
        <v>237</v>
      </c>
      <c r="B17">
        <f>65+57+9+9+6+16+18+9+18+90</f>
        <v>297</v>
      </c>
    </row>
    <row r="18" spans="1:2">
      <c r="A18" t="s">
        <v>238</v>
      </c>
      <c r="B18">
        <f>52+54+6+5</f>
        <v>117</v>
      </c>
    </row>
    <row r="19" spans="1:2">
      <c r="A19" t="s">
        <v>239</v>
      </c>
      <c r="B19">
        <f>24+12+2+4+12</f>
        <v>54</v>
      </c>
    </row>
    <row r="20" spans="1:2">
      <c r="A20" t="s">
        <v>240</v>
      </c>
      <c r="B20">
        <f>30+75+100</f>
        <v>205</v>
      </c>
    </row>
    <row r="21" spans="1:2">
      <c r="A21" t="s">
        <v>241</v>
      </c>
      <c r="B21">
        <f>24+3+27</f>
        <v>54</v>
      </c>
    </row>
    <row r="22" spans="1:2">
      <c r="A22" t="s">
        <v>242</v>
      </c>
      <c r="B22">
        <f>14+3+36</f>
        <v>53</v>
      </c>
    </row>
    <row r="23" spans="1:2">
      <c r="A23" t="s">
        <v>243</v>
      </c>
      <c r="B23">
        <f>3+36+25+6+1+6+100+24+2+8</f>
        <v>211</v>
      </c>
    </row>
    <row r="24" spans="1:2">
      <c r="A24" t="s">
        <v>244</v>
      </c>
      <c r="B24">
        <f>2+10+2+8</f>
        <v>22</v>
      </c>
    </row>
    <row r="25" spans="1:2">
      <c r="A25" t="s">
        <v>245</v>
      </c>
      <c r="B25">
        <f>3+42+79+6+6+27</f>
        <v>163</v>
      </c>
    </row>
    <row r="26" spans="1:2">
      <c r="A26" t="s">
        <v>246</v>
      </c>
      <c r="B26">
        <f>8</f>
        <v>8</v>
      </c>
    </row>
    <row r="27" spans="1:2">
      <c r="A27" t="s">
        <v>247</v>
      </c>
      <c r="B27">
        <f>3+8+1+15</f>
        <v>27</v>
      </c>
    </row>
    <row r="28" spans="1:2">
      <c r="A28" t="s">
        <v>248</v>
      </c>
      <c r="B28">
        <f>4+30+4+8</f>
        <v>46</v>
      </c>
    </row>
    <row r="29" spans="1:2">
      <c r="A29" t="s">
        <v>249</v>
      </c>
      <c r="B29">
        <f>8+40+4+8</f>
        <v>60</v>
      </c>
    </row>
    <row r="30" spans="1:2">
      <c r="A30" t="s">
        <v>250</v>
      </c>
      <c r="B30">
        <f>26+4+6+4+20+3</f>
        <v>63</v>
      </c>
    </row>
    <row r="31" spans="1:2">
      <c r="A31" t="s">
        <v>251</v>
      </c>
      <c r="B31">
        <f>1+4+20+15</f>
        <v>40</v>
      </c>
    </row>
    <row r="32" spans="1:2">
      <c r="A32" t="s">
        <v>252</v>
      </c>
      <c r="B32">
        <f>2+6+20+4+21</f>
        <v>53</v>
      </c>
    </row>
    <row r="33" spans="1:2">
      <c r="A33" t="s">
        <v>253</v>
      </c>
      <c r="B33">
        <f>4+1+20+3+15+4</f>
        <v>47</v>
      </c>
    </row>
    <row r="34" spans="1:2">
      <c r="A34" t="s">
        <v>254</v>
      </c>
      <c r="B34">
        <f>5+13+8</f>
        <v>26</v>
      </c>
    </row>
    <row r="35" spans="1:2">
      <c r="A35" t="s">
        <v>255</v>
      </c>
      <c r="B35">
        <f>2+10+2+8</f>
        <v>22</v>
      </c>
    </row>
    <row r="36" spans="1:2">
      <c r="A36" t="s">
        <v>256</v>
      </c>
      <c r="B36">
        <f>24+18+2+4+12</f>
        <v>60</v>
      </c>
    </row>
    <row r="37" spans="1:2">
      <c r="A37" t="s">
        <v>257</v>
      </c>
      <c r="B37">
        <f>8</f>
        <v>8</v>
      </c>
    </row>
    <row r="38" spans="1:2">
      <c r="A38" t="s">
        <v>258</v>
      </c>
      <c r="B38">
        <f>100+18+9+6+6+99</f>
        <v>238</v>
      </c>
    </row>
    <row r="39" spans="1:2">
      <c r="A39" t="s">
        <v>259</v>
      </c>
      <c r="B39">
        <f>2+30+4+8</f>
        <v>44</v>
      </c>
    </row>
    <row r="40" spans="1:2">
      <c r="A40" t="s">
        <v>260</v>
      </c>
      <c r="B40">
        <f>2+30+4+8</f>
        <v>44</v>
      </c>
    </row>
    <row r="41" spans="1:2">
      <c r="A41" t="s">
        <v>261</v>
      </c>
      <c r="B41">
        <f>1+9+39+4+36</f>
        <v>89</v>
      </c>
    </row>
    <row r="42" spans="1:2">
      <c r="A42" t="s">
        <v>262</v>
      </c>
      <c r="B42">
        <f>12+5+20+15+1</f>
        <v>53</v>
      </c>
    </row>
    <row r="43" spans="1:2">
      <c r="A43" t="s">
        <v>263</v>
      </c>
      <c r="B43">
        <f>4+35+4+8</f>
        <v>51</v>
      </c>
    </row>
    <row r="44" spans="1:2">
      <c r="A44" t="s">
        <v>264</v>
      </c>
      <c r="B44">
        <f>3+3+60+12+36</f>
        <v>114</v>
      </c>
    </row>
    <row r="45" spans="1:2">
      <c r="A45" t="s">
        <v>265</v>
      </c>
      <c r="B45">
        <f>18+5+20+15+2</f>
        <v>60</v>
      </c>
    </row>
    <row r="46" spans="1:2">
      <c r="A46" t="s">
        <v>266</v>
      </c>
      <c r="B46">
        <f>4+39+18+3+36</f>
        <v>100</v>
      </c>
    </row>
    <row r="47" spans="1:2">
      <c r="A47" t="s">
        <v>267</v>
      </c>
      <c r="B47">
        <f>8</f>
        <v>8</v>
      </c>
    </row>
    <row r="48" spans="1:2">
      <c r="A48" t="s">
        <v>268</v>
      </c>
      <c r="B48">
        <f>36+3+36</f>
        <v>75</v>
      </c>
    </row>
    <row r="49" spans="1:2">
      <c r="A49" t="s">
        <v>269</v>
      </c>
      <c r="B49">
        <f>9+19+6</f>
        <v>34</v>
      </c>
    </row>
    <row r="50" spans="1:2">
      <c r="A50" t="s">
        <v>270</v>
      </c>
      <c r="B50">
        <f>24+27</f>
        <v>51</v>
      </c>
    </row>
    <row r="51" spans="1:2">
      <c r="A51" t="s">
        <v>271</v>
      </c>
      <c r="B51">
        <f>3+15+2+8+4</f>
        <v>32</v>
      </c>
    </row>
    <row r="52" spans="1:2">
      <c r="A52" t="s">
        <v>272</v>
      </c>
      <c r="B52">
        <f>30+4+8+4</f>
        <v>46</v>
      </c>
    </row>
    <row r="53" spans="1:2">
      <c r="A53" t="s">
        <v>273</v>
      </c>
      <c r="B53">
        <f>4+1+20+3+4+12+3+3</f>
        <v>50</v>
      </c>
    </row>
    <row r="54" spans="1:2">
      <c r="A54" t="s">
        <v>274</v>
      </c>
      <c r="B54">
        <f>9+28+27</f>
        <v>64</v>
      </c>
    </row>
    <row r="55" spans="1:2">
      <c r="A55" t="s">
        <v>275</v>
      </c>
      <c r="B55">
        <f>4+4+3+12+2+2</f>
        <v>27</v>
      </c>
    </row>
    <row r="56" spans="1:2">
      <c r="A56" t="s">
        <v>276</v>
      </c>
      <c r="B56">
        <f>10</f>
        <v>10</v>
      </c>
    </row>
    <row r="57" spans="1:2">
      <c r="A57" t="s">
        <v>277</v>
      </c>
      <c r="B57">
        <f>39+5+6+4+33</f>
        <v>87</v>
      </c>
    </row>
    <row r="58" spans="1:2">
      <c r="A58" t="s">
        <v>278</v>
      </c>
      <c r="B58">
        <f>12+8+2+18+7+10+1+12+20+4</f>
        <v>94</v>
      </c>
    </row>
    <row r="59" spans="1:2">
      <c r="A59" t="s">
        <v>279</v>
      </c>
      <c r="B59">
        <f>39+46+27+3+6+2+41+49+6</f>
        <v>219</v>
      </c>
    </row>
    <row r="60" spans="1:2">
      <c r="A60" t="s">
        <v>280</v>
      </c>
      <c r="B60">
        <f>3+2+15+4+8</f>
        <v>32</v>
      </c>
    </row>
    <row r="61" spans="1:2">
      <c r="A61" t="s">
        <v>281</v>
      </c>
      <c r="B61">
        <f>39+9+48+12</f>
        <v>108</v>
      </c>
    </row>
    <row r="62" spans="1:2">
      <c r="A62" t="s">
        <v>282</v>
      </c>
      <c r="B62">
        <f>18+4+5+19</f>
        <v>46</v>
      </c>
    </row>
    <row r="63" spans="1:2">
      <c r="A63" t="s">
        <v>283</v>
      </c>
      <c r="B63">
        <f>38</f>
        <v>38</v>
      </c>
    </row>
    <row r="64" spans="1:2">
      <c r="A64" t="s">
        <v>284</v>
      </c>
      <c r="B64">
        <f>2+12+2+15+4+8</f>
        <v>43</v>
      </c>
    </row>
    <row r="65" spans="1:2">
      <c r="A65" t="s">
        <v>285</v>
      </c>
      <c r="B65">
        <f>2+2+26+13+3+6+4+8</f>
        <v>64</v>
      </c>
    </row>
    <row r="66" spans="1:2">
      <c r="A66" t="s">
        <v>286</v>
      </c>
      <c r="B66">
        <f>5+4+2+3+10+8+4</f>
        <v>36</v>
      </c>
    </row>
    <row r="67" spans="1:2">
      <c r="A67" t="s">
        <v>287</v>
      </c>
      <c r="B67">
        <f>2+2+15+3+8</f>
        <v>30</v>
      </c>
    </row>
    <row r="68" spans="1:2">
      <c r="A68" t="s">
        <v>288</v>
      </c>
      <c r="B68">
        <f>8+30+4+8</f>
        <v>50</v>
      </c>
    </row>
    <row r="69" spans="1:2">
      <c r="A69" t="s">
        <v>289</v>
      </c>
      <c r="B69">
        <f>6+30+27+5</f>
        <v>68</v>
      </c>
    </row>
    <row r="70" spans="1:2">
      <c r="A70" t="s">
        <v>290</v>
      </c>
      <c r="B70">
        <f>2+2+4+35+5+45</f>
        <v>93</v>
      </c>
    </row>
    <row r="71" spans="1:2">
      <c r="A71" t="s">
        <v>291</v>
      </c>
      <c r="B71">
        <f>2+2+2+15+3+8</f>
        <v>32</v>
      </c>
    </row>
    <row r="72" spans="1:2">
      <c r="A72" t="s">
        <v>292</v>
      </c>
      <c r="B72">
        <f>20+1+1+22</f>
        <v>44</v>
      </c>
    </row>
    <row r="73" spans="1:2">
      <c r="A73" t="s">
        <v>293</v>
      </c>
      <c r="B73">
        <f>90</f>
        <v>90</v>
      </c>
    </row>
    <row r="74" spans="1:2">
      <c r="A74" t="s">
        <v>294</v>
      </c>
      <c r="B74">
        <f>30+32+43+100</f>
        <v>205</v>
      </c>
    </row>
    <row r="75" spans="1:2">
      <c r="A75" t="s">
        <v>295</v>
      </c>
      <c r="B75">
        <f>24+3+27</f>
        <v>54</v>
      </c>
    </row>
    <row r="76" spans="1:2">
      <c r="A76" t="s">
        <v>296</v>
      </c>
      <c r="B76">
        <f>27+36+35+31+18+15+13</f>
        <v>175</v>
      </c>
    </row>
    <row r="77" spans="1:2">
      <c r="A77" t="s">
        <v>297</v>
      </c>
      <c r="B77">
        <f>24+3+36</f>
        <v>63</v>
      </c>
    </row>
    <row r="78" spans="1:2">
      <c r="A78" t="s">
        <v>298</v>
      </c>
      <c r="B78">
        <f>20+24</f>
        <v>44</v>
      </c>
    </row>
    <row r="79" spans="1:2">
      <c r="A79" t="s">
        <v>299</v>
      </c>
      <c r="B79">
        <f>22+8+86+34</f>
        <v>150</v>
      </c>
    </row>
    <row r="80" spans="1:2">
      <c r="A80" t="s">
        <v>300</v>
      </c>
      <c r="B80">
        <f>30+36+1+4+12+120+24+4+4+4+4</f>
        <v>243</v>
      </c>
    </row>
    <row r="81" spans="1:2">
      <c r="A81" t="s">
        <v>301</v>
      </c>
      <c r="B81">
        <f>12</f>
        <v>12</v>
      </c>
    </row>
    <row r="82" spans="1:2">
      <c r="A82" t="s">
        <v>302</v>
      </c>
      <c r="B82">
        <f>12</f>
        <v>12</v>
      </c>
    </row>
    <row r="83" spans="1:2">
      <c r="A83" t="s">
        <v>303</v>
      </c>
      <c r="B83">
        <f>2+3+12+7+18+21+4+6+3+34</f>
        <v>110</v>
      </c>
    </row>
    <row r="84" spans="1:2">
      <c r="A84" t="s">
        <v>304</v>
      </c>
      <c r="B84">
        <f>9+7+6+4+4</f>
        <v>30</v>
      </c>
    </row>
    <row r="85" spans="1:2">
      <c r="A85" t="s">
        <v>305</v>
      </c>
      <c r="B85">
        <f>25+4+1+6+50+12+8+4</f>
        <v>110</v>
      </c>
    </row>
    <row r="86" spans="1:2">
      <c r="A86" t="s">
        <v>306</v>
      </c>
      <c r="B86">
        <f>12</f>
        <v>12</v>
      </c>
    </row>
    <row r="87" spans="1:2">
      <c r="A87" t="s">
        <v>307</v>
      </c>
      <c r="B87">
        <f>2+8+8+3+3+5+4</f>
        <v>33</v>
      </c>
    </row>
    <row r="88" spans="1:2">
      <c r="A88" t="s">
        <v>308</v>
      </c>
      <c r="B88">
        <f>12+20+35+34+3+6+3+23+22</f>
        <v>158</v>
      </c>
    </row>
    <row r="89" spans="1:2">
      <c r="A89" t="s">
        <v>309</v>
      </c>
      <c r="B89">
        <f>26+22+30+24+2+4</f>
        <v>108</v>
      </c>
    </row>
    <row r="90" spans="1:2">
      <c r="A90" t="s">
        <v>310</v>
      </c>
      <c r="B90">
        <f>30+1+1+21+9+100+4+4+2+4</f>
        <v>176</v>
      </c>
    </row>
    <row r="91" spans="1:2">
      <c r="A91" t="s">
        <v>311</v>
      </c>
      <c r="B91">
        <f>23+22+3+4+9+7+9+9+8+8</f>
        <v>102</v>
      </c>
    </row>
    <row r="92" spans="1:2">
      <c r="A92" t="s">
        <v>312</v>
      </c>
      <c r="B92">
        <f>11+13+3+36</f>
        <v>63</v>
      </c>
    </row>
    <row r="93" spans="1:2">
      <c r="A93" t="s">
        <v>313</v>
      </c>
      <c r="B93">
        <f>10+22+18+2</f>
        <v>52</v>
      </c>
    </row>
    <row r="94" spans="1:2">
      <c r="A94" t="s">
        <v>314</v>
      </c>
      <c r="B94">
        <f>8+7+17+2</f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3"/>
  <sheetViews>
    <sheetView workbookViewId="0">
      <pane ySplit="1" topLeftCell="A2" activePane="bottomLeft" state="frozen"/>
      <selection pane="bottomLeft" activeCell="D23" sqref="D23"/>
    </sheetView>
  </sheetViews>
  <sheetFormatPr defaultRowHeight="15"/>
  <cols>
    <col min="1" max="1" width="34.140625" bestFit="1" customWidth="1"/>
    <col min="2" max="2" width="19.7109375" bestFit="1" customWidth="1"/>
    <col min="3" max="3" width="12.7109375" bestFit="1" customWidth="1"/>
  </cols>
  <sheetData>
    <row r="1" spans="1:6" s="3" customFormat="1">
      <c r="A1" s="3" t="s">
        <v>221</v>
      </c>
      <c r="C1" s="3" t="s">
        <v>220</v>
      </c>
      <c r="D1" s="3">
        <f>SUM(C:C)</f>
        <v>5802</v>
      </c>
      <c r="E1" s="4" t="s">
        <v>219</v>
      </c>
      <c r="F1" s="3">
        <f>D1/3</f>
        <v>1934</v>
      </c>
    </row>
    <row r="2" spans="1:6">
      <c r="A2" t="s">
        <v>315</v>
      </c>
      <c r="B2" t="s">
        <v>367</v>
      </c>
      <c r="C2">
        <f>15+9+2+20</f>
        <v>46</v>
      </c>
    </row>
    <row r="3" spans="1:6">
      <c r="A3" t="s">
        <v>316</v>
      </c>
      <c r="B3" t="s">
        <v>368</v>
      </c>
      <c r="C3">
        <f>24+2+20</f>
        <v>46</v>
      </c>
    </row>
    <row r="4" spans="1:6">
      <c r="A4" t="s">
        <v>317</v>
      </c>
      <c r="B4" t="s">
        <v>369</v>
      </c>
      <c r="C4">
        <f>30+12+2+2+8+12+4</f>
        <v>70</v>
      </c>
    </row>
    <row r="5" spans="1:6">
      <c r="A5" t="s">
        <v>318</v>
      </c>
      <c r="B5" t="s">
        <v>369</v>
      </c>
      <c r="C5">
        <f>1+78+42+4+4+7+1+5+108+3</f>
        <v>253</v>
      </c>
    </row>
    <row r="6" spans="1:6">
      <c r="A6" t="s">
        <v>319</v>
      </c>
      <c r="B6" t="s">
        <v>369</v>
      </c>
      <c r="C6">
        <f>1+78+42+8+4+3+2+6+94+10+6</f>
        <v>254</v>
      </c>
    </row>
    <row r="7" spans="1:6">
      <c r="A7" t="s">
        <v>320</v>
      </c>
      <c r="B7" t="s">
        <v>369</v>
      </c>
      <c r="C7">
        <f>30+6+24</f>
        <v>60</v>
      </c>
    </row>
    <row r="8" spans="1:6">
      <c r="A8" t="s">
        <v>321</v>
      </c>
      <c r="B8" t="s">
        <v>370</v>
      </c>
      <c r="C8">
        <f>16+4+20+6+4</f>
        <v>50</v>
      </c>
    </row>
    <row r="9" spans="1:6">
      <c r="A9" t="s">
        <v>322</v>
      </c>
      <c r="B9" t="s">
        <v>370</v>
      </c>
      <c r="C9">
        <f>34+7+2+2+2+17+11+3</f>
        <v>78</v>
      </c>
    </row>
    <row r="10" spans="1:6">
      <c r="A10" t="s">
        <v>323</v>
      </c>
      <c r="B10" t="s">
        <v>370</v>
      </c>
      <c r="C10">
        <f>20+1+4+14+6</f>
        <v>45</v>
      </c>
    </row>
    <row r="11" spans="1:6">
      <c r="A11" t="s">
        <v>324</v>
      </c>
      <c r="B11" t="s">
        <v>371</v>
      </c>
      <c r="C11">
        <f>180</f>
        <v>180</v>
      </c>
    </row>
    <row r="12" spans="1:6">
      <c r="A12" t="s">
        <v>325</v>
      </c>
      <c r="B12" t="s">
        <v>371</v>
      </c>
      <c r="C12">
        <f>14</f>
        <v>14</v>
      </c>
    </row>
    <row r="13" spans="1:6">
      <c r="A13" t="s">
        <v>326</v>
      </c>
      <c r="B13" t="s">
        <v>371</v>
      </c>
      <c r="C13">
        <f>2+8+22+2+16</f>
        <v>50</v>
      </c>
    </row>
    <row r="14" spans="1:6">
      <c r="A14" t="s">
        <v>327</v>
      </c>
      <c r="B14" t="s">
        <v>371</v>
      </c>
      <c r="C14">
        <f>140+1+4+8+5+4+12+4+8+5+90</f>
        <v>281</v>
      </c>
    </row>
    <row r="15" spans="1:6">
      <c r="A15" t="s">
        <v>328</v>
      </c>
      <c r="B15" t="s">
        <v>371</v>
      </c>
      <c r="C15">
        <f>30+12+2+4+8+12+4</f>
        <v>72</v>
      </c>
    </row>
    <row r="16" spans="1:6">
      <c r="A16" t="s">
        <v>329</v>
      </c>
      <c r="B16" t="s">
        <v>372</v>
      </c>
      <c r="C16">
        <f>60+2+8+44+28</f>
        <v>142</v>
      </c>
    </row>
    <row r="17" spans="1:3">
      <c r="A17" t="s">
        <v>330</v>
      </c>
      <c r="B17" t="s">
        <v>372</v>
      </c>
      <c r="C17">
        <f>30+2+2+8+12+4</f>
        <v>58</v>
      </c>
    </row>
    <row r="18" spans="1:3">
      <c r="A18" t="s">
        <v>331</v>
      </c>
      <c r="B18" t="s">
        <v>372</v>
      </c>
      <c r="C18">
        <f>4+82+43+1+10+2+10+6+8+12+4+7+71+37</f>
        <v>297</v>
      </c>
    </row>
    <row r="19" spans="1:3">
      <c r="A19" t="s">
        <v>332</v>
      </c>
      <c r="B19" t="s">
        <v>373</v>
      </c>
      <c r="C19">
        <f>38+52+16</f>
        <v>106</v>
      </c>
    </row>
    <row r="20" spans="1:3">
      <c r="A20" t="s">
        <v>333</v>
      </c>
      <c r="B20" t="s">
        <v>373</v>
      </c>
      <c r="C20">
        <f>29+2+2+8+12+4</f>
        <v>57</v>
      </c>
    </row>
    <row r="21" spans="1:3">
      <c r="A21" t="s">
        <v>334</v>
      </c>
      <c r="B21" t="s">
        <v>373</v>
      </c>
      <c r="C21">
        <f>32+13+1+1+6+3+16+2</f>
        <v>74</v>
      </c>
    </row>
    <row r="22" spans="1:3">
      <c r="A22" t="s">
        <v>335</v>
      </c>
      <c r="B22" t="s">
        <v>374</v>
      </c>
      <c r="C22">
        <f>34+2+25</f>
        <v>61</v>
      </c>
    </row>
    <row r="23" spans="1:3">
      <c r="A23" t="s">
        <v>336</v>
      </c>
      <c r="B23" t="s">
        <v>374</v>
      </c>
      <c r="C23">
        <f>30+2+2+6+2+12+4</f>
        <v>58</v>
      </c>
    </row>
    <row r="24" spans="1:3">
      <c r="A24" t="s">
        <v>337</v>
      </c>
      <c r="B24" t="s">
        <v>374</v>
      </c>
      <c r="C24">
        <f>1+82+43+8+7+6+2+6+102+5</f>
        <v>262</v>
      </c>
    </row>
    <row r="25" spans="1:3">
      <c r="A25" t="s">
        <v>338</v>
      </c>
      <c r="B25" t="s">
        <v>375</v>
      </c>
      <c r="C25">
        <f>12</f>
        <v>12</v>
      </c>
    </row>
    <row r="26" spans="1:3">
      <c r="A26" t="s">
        <v>339</v>
      </c>
      <c r="B26" t="s">
        <v>375</v>
      </c>
      <c r="C26">
        <f>30+12+4+8+12+4</f>
        <v>70</v>
      </c>
    </row>
    <row r="27" spans="1:3">
      <c r="A27" t="s">
        <v>340</v>
      </c>
      <c r="B27" t="s">
        <v>375</v>
      </c>
      <c r="C27">
        <f>19</f>
        <v>19</v>
      </c>
    </row>
    <row r="28" spans="1:3">
      <c r="A28" t="s">
        <v>341</v>
      </c>
      <c r="B28" t="s">
        <v>375</v>
      </c>
      <c r="C28">
        <f>46+2+4+34+1+1+1+1+1+1+33+1</f>
        <v>126</v>
      </c>
    </row>
    <row r="29" spans="1:3">
      <c r="A29" t="s">
        <v>342</v>
      </c>
      <c r="B29" t="s">
        <v>375</v>
      </c>
      <c r="C29">
        <f>46+2+4+34+1+1+1+1+1+1+33+1</f>
        <v>126</v>
      </c>
    </row>
    <row r="30" spans="1:3">
      <c r="A30" t="s">
        <v>343</v>
      </c>
      <c r="B30" t="s">
        <v>376</v>
      </c>
      <c r="C30">
        <f>12</f>
        <v>12</v>
      </c>
    </row>
    <row r="31" spans="1:3">
      <c r="A31" t="s">
        <v>344</v>
      </c>
      <c r="B31" t="s">
        <v>376</v>
      </c>
      <c r="C31">
        <f>140+1+4+7+1+1+4+8+1+9+4+95</f>
        <v>275</v>
      </c>
    </row>
    <row r="32" spans="1:3">
      <c r="A32" t="s">
        <v>345</v>
      </c>
      <c r="B32" t="s">
        <v>377</v>
      </c>
      <c r="C32">
        <f>360</f>
        <v>360</v>
      </c>
    </row>
    <row r="33" spans="1:3">
      <c r="A33" t="s">
        <v>346</v>
      </c>
      <c r="B33" t="s">
        <v>377</v>
      </c>
      <c r="C33">
        <f>106</f>
        <v>106</v>
      </c>
    </row>
    <row r="34" spans="1:3">
      <c r="A34" t="s">
        <v>347</v>
      </c>
      <c r="B34" t="s">
        <v>377</v>
      </c>
      <c r="C34">
        <f>24+18</f>
        <v>42</v>
      </c>
    </row>
    <row r="35" spans="1:3">
      <c r="A35" t="s">
        <v>348</v>
      </c>
      <c r="B35" t="s">
        <v>377</v>
      </c>
      <c r="C35">
        <f>34+7+2+36+3</f>
        <v>82</v>
      </c>
    </row>
    <row r="36" spans="1:3">
      <c r="A36" t="s">
        <v>349</v>
      </c>
      <c r="B36" t="s">
        <v>377</v>
      </c>
      <c r="C36">
        <f>32+7+2+8+36+3</f>
        <v>88</v>
      </c>
    </row>
    <row r="37" spans="1:3">
      <c r="A37" t="s">
        <v>350</v>
      </c>
      <c r="B37" t="s">
        <v>377</v>
      </c>
      <c r="C37">
        <f>25+100+3+4+12+2+16+6+8+2+8+12</f>
        <v>198</v>
      </c>
    </row>
    <row r="38" spans="1:3">
      <c r="A38" t="s">
        <v>351</v>
      </c>
      <c r="B38" t="s">
        <v>377</v>
      </c>
      <c r="C38">
        <f>9+12+18</f>
        <v>39</v>
      </c>
    </row>
    <row r="39" spans="1:3">
      <c r="A39" t="s">
        <v>352</v>
      </c>
      <c r="B39" t="s">
        <v>377</v>
      </c>
      <c r="C39">
        <f>4+1+2+16+18</f>
        <v>41</v>
      </c>
    </row>
    <row r="40" spans="1:3">
      <c r="A40" t="s">
        <v>353</v>
      </c>
      <c r="B40" t="s">
        <v>377</v>
      </c>
      <c r="C40">
        <f>20+1+4+27</f>
        <v>52</v>
      </c>
    </row>
    <row r="41" spans="1:3">
      <c r="A41" t="s">
        <v>354</v>
      </c>
      <c r="B41" t="s">
        <v>377</v>
      </c>
      <c r="C41">
        <f>32+7+2+4+4+36+3</f>
        <v>88</v>
      </c>
    </row>
    <row r="42" spans="1:3">
      <c r="A42" t="s">
        <v>355</v>
      </c>
      <c r="B42" t="s">
        <v>377</v>
      </c>
      <c r="C42">
        <f>1+16+2+32</f>
        <v>51</v>
      </c>
    </row>
    <row r="43" spans="1:3">
      <c r="A43" t="s">
        <v>356</v>
      </c>
      <c r="B43" t="s">
        <v>377</v>
      </c>
      <c r="C43">
        <f>13+12+4</f>
        <v>29</v>
      </c>
    </row>
    <row r="44" spans="1:3">
      <c r="A44" t="s">
        <v>357</v>
      </c>
      <c r="B44" t="s">
        <v>377</v>
      </c>
      <c r="C44">
        <f>80+6+6+90</f>
        <v>182</v>
      </c>
    </row>
    <row r="45" spans="1:3">
      <c r="A45" t="s">
        <v>358</v>
      </c>
      <c r="B45" t="s">
        <v>377</v>
      </c>
      <c r="C45">
        <f>18+90+150</f>
        <v>258</v>
      </c>
    </row>
    <row r="46" spans="1:3">
      <c r="A46" t="s">
        <v>359</v>
      </c>
      <c r="B46" t="s">
        <v>377</v>
      </c>
      <c r="C46">
        <f>19+6+16</f>
        <v>41</v>
      </c>
    </row>
    <row r="47" spans="1:3">
      <c r="A47" t="s">
        <v>360</v>
      </c>
      <c r="B47" t="s">
        <v>377</v>
      </c>
      <c r="C47">
        <f>20+1+4+27</f>
        <v>52</v>
      </c>
    </row>
    <row r="48" spans="1:3">
      <c r="A48" t="s">
        <v>361</v>
      </c>
      <c r="B48" t="s">
        <v>377</v>
      </c>
      <c r="C48">
        <f>18+250+2+4+30+24+18+18+5+6</f>
        <v>375</v>
      </c>
    </row>
    <row r="49" spans="1:3">
      <c r="A49" t="s">
        <v>362</v>
      </c>
      <c r="B49" t="s">
        <v>378</v>
      </c>
      <c r="C49">
        <f>30+12+2+2+8+12+4</f>
        <v>70</v>
      </c>
    </row>
    <row r="50" spans="1:3">
      <c r="A50" t="s">
        <v>363</v>
      </c>
      <c r="B50" t="s">
        <v>378</v>
      </c>
      <c r="C50">
        <f>19</f>
        <v>19</v>
      </c>
    </row>
    <row r="51" spans="1:3">
      <c r="A51" t="s">
        <v>364</v>
      </c>
      <c r="B51" t="s">
        <v>378</v>
      </c>
      <c r="C51">
        <f>1+72+38+8+4+3+7+2+108</f>
        <v>243</v>
      </c>
    </row>
    <row r="52" spans="1:3">
      <c r="A52" t="s">
        <v>365</v>
      </c>
      <c r="B52" t="s">
        <v>379</v>
      </c>
      <c r="C52">
        <f>40+2+1+3+3+3+30</f>
        <v>82</v>
      </c>
    </row>
    <row r="53" spans="1:3">
      <c r="A53" t="s">
        <v>366</v>
      </c>
      <c r="B53" t="s">
        <v>379</v>
      </c>
      <c r="C53">
        <f>30+6+14</f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9"/>
  <sheetViews>
    <sheetView workbookViewId="0">
      <pane ySplit="1" topLeftCell="A2" activePane="bottomLeft" state="frozen"/>
      <selection pane="bottomLeft" activeCell="A19" sqref="A19"/>
    </sheetView>
  </sheetViews>
  <sheetFormatPr defaultRowHeight="15"/>
  <cols>
    <col min="1" max="1" width="39" bestFit="1" customWidth="1"/>
    <col min="2" max="2" width="10.85546875" bestFit="1" customWidth="1"/>
    <col min="3" max="3" width="19.7109375" bestFit="1" customWidth="1"/>
    <col min="4" max="4" width="12.7109375" bestFit="1" customWidth="1"/>
  </cols>
  <sheetData>
    <row r="1" spans="1:7" s="3" customFormat="1" ht="30">
      <c r="A1" s="3" t="s">
        <v>221</v>
      </c>
      <c r="D1" s="5" t="s">
        <v>418</v>
      </c>
      <c r="E1" s="3">
        <f>SUM(D:D)</f>
        <v>3819.25</v>
      </c>
      <c r="F1" s="4" t="s">
        <v>219</v>
      </c>
      <c r="G1" s="3">
        <f>E1/3</f>
        <v>1273.0833333333333</v>
      </c>
    </row>
    <row r="2" spans="1:7">
      <c r="A2" t="s">
        <v>380</v>
      </c>
      <c r="B2" t="s">
        <v>428</v>
      </c>
      <c r="C2" t="s">
        <v>419</v>
      </c>
      <c r="D2">
        <f>100+18+80+2+4</f>
        <v>204</v>
      </c>
    </row>
    <row r="3" spans="1:7">
      <c r="A3" t="s">
        <v>381</v>
      </c>
      <c r="B3" t="s">
        <v>429</v>
      </c>
      <c r="C3" t="s">
        <v>419</v>
      </c>
      <c r="D3">
        <f>(32+4+4+4+4+2+27)/4</f>
        <v>19.25</v>
      </c>
    </row>
    <row r="4" spans="1:7">
      <c r="A4" t="s">
        <v>382</v>
      </c>
      <c r="B4" t="s">
        <v>429</v>
      </c>
      <c r="C4" t="s">
        <v>419</v>
      </c>
      <c r="D4">
        <f>(24+24+4)/4</f>
        <v>13</v>
      </c>
    </row>
    <row r="5" spans="1:7">
      <c r="A5" t="s">
        <v>383</v>
      </c>
      <c r="B5" t="s">
        <v>430</v>
      </c>
      <c r="C5" t="s">
        <v>419</v>
      </c>
      <c r="D5">
        <f>4+12+16+24+24+72+2+12+12+27+8+93</f>
        <v>306</v>
      </c>
    </row>
    <row r="6" spans="1:7">
      <c r="A6" t="s">
        <v>384</v>
      </c>
      <c r="B6" t="s">
        <v>431</v>
      </c>
      <c r="C6" t="s">
        <v>419</v>
      </c>
      <c r="D6">
        <f>2+165+24+5+16+8+2+2+11+24+42+9+12</f>
        <v>322</v>
      </c>
    </row>
    <row r="7" spans="1:7">
      <c r="A7" t="s">
        <v>385</v>
      </c>
      <c r="B7" t="s">
        <v>429</v>
      </c>
      <c r="C7" t="s">
        <v>420</v>
      </c>
      <c r="D7">
        <f>(9+160+4+18+18+12+160+12)/4</f>
        <v>98.25</v>
      </c>
    </row>
    <row r="8" spans="1:7">
      <c r="A8" t="s">
        <v>386</v>
      </c>
      <c r="B8" t="s">
        <v>429</v>
      </c>
      <c r="C8" t="s">
        <v>420</v>
      </c>
      <c r="D8">
        <f>(24)/4</f>
        <v>6</v>
      </c>
    </row>
    <row r="9" spans="1:7">
      <c r="A9" t="s">
        <v>387</v>
      </c>
      <c r="B9" t="s">
        <v>431</v>
      </c>
      <c r="C9" t="s">
        <v>421</v>
      </c>
      <c r="D9">
        <f>50</f>
        <v>50</v>
      </c>
    </row>
    <row r="10" spans="1:7">
      <c r="A10" t="s">
        <v>388</v>
      </c>
      <c r="B10" t="s">
        <v>431</v>
      </c>
      <c r="C10" t="s">
        <v>421</v>
      </c>
      <c r="D10">
        <f>60+100+1+4+12</f>
        <v>177</v>
      </c>
    </row>
    <row r="11" spans="1:7">
      <c r="A11" t="s">
        <v>389</v>
      </c>
      <c r="B11" t="s">
        <v>429</v>
      </c>
      <c r="C11" t="s">
        <v>421</v>
      </c>
      <c r="D11">
        <f>(32+4+4+4+4+2+27)/4</f>
        <v>19.25</v>
      </c>
    </row>
    <row r="12" spans="1:7">
      <c r="A12" t="s">
        <v>390</v>
      </c>
      <c r="B12" t="s">
        <v>431</v>
      </c>
      <c r="C12" t="s">
        <v>421</v>
      </c>
      <c r="D12">
        <f>30</f>
        <v>30</v>
      </c>
    </row>
    <row r="13" spans="1:7">
      <c r="A13" t="s">
        <v>391</v>
      </c>
      <c r="B13" t="s">
        <v>429</v>
      </c>
      <c r="C13" t="s">
        <v>421</v>
      </c>
      <c r="D13">
        <f>(62+12+12+9+9+6+40)/4</f>
        <v>37.5</v>
      </c>
    </row>
    <row r="14" spans="1:7">
      <c r="A14" t="s">
        <v>392</v>
      </c>
      <c r="B14" t="s">
        <v>431</v>
      </c>
      <c r="C14" t="s">
        <v>421</v>
      </c>
      <c r="D14">
        <f>51+55</f>
        <v>106</v>
      </c>
    </row>
    <row r="15" spans="1:7">
      <c r="A15" t="s">
        <v>393</v>
      </c>
      <c r="B15" t="s">
        <v>431</v>
      </c>
      <c r="C15" t="s">
        <v>421</v>
      </c>
      <c r="D15">
        <f>51+55</f>
        <v>106</v>
      </c>
    </row>
    <row r="16" spans="1:7">
      <c r="A16" t="s">
        <v>394</v>
      </c>
      <c r="B16" t="s">
        <v>431</v>
      </c>
      <c r="C16" t="s">
        <v>421</v>
      </c>
      <c r="D16">
        <f>8+2+10+30+12+8+24</f>
        <v>94</v>
      </c>
    </row>
    <row r="17" spans="1:4">
      <c r="A17" t="s">
        <v>395</v>
      </c>
      <c r="B17" t="s">
        <v>431</v>
      </c>
      <c r="C17" t="s">
        <v>421</v>
      </c>
      <c r="D17">
        <f>25+18+13</f>
        <v>56</v>
      </c>
    </row>
    <row r="18" spans="1:4">
      <c r="A18" t="s">
        <v>396</v>
      </c>
      <c r="B18" t="s">
        <v>431</v>
      </c>
      <c r="C18" t="s">
        <v>421</v>
      </c>
      <c r="D18">
        <f>20+40+12+8+3+9+27</f>
        <v>119</v>
      </c>
    </row>
    <row r="19" spans="1:4">
      <c r="A19" t="s">
        <v>397</v>
      </c>
      <c r="B19" t="s">
        <v>431</v>
      </c>
      <c r="C19" t="s">
        <v>421</v>
      </c>
      <c r="D19">
        <f>2+30+4+2+8+4+4</f>
        <v>54</v>
      </c>
    </row>
    <row r="20" spans="1:4">
      <c r="A20" t="s">
        <v>398</v>
      </c>
      <c r="B20" t="s">
        <v>429</v>
      </c>
      <c r="C20" t="s">
        <v>422</v>
      </c>
      <c r="D20">
        <f>(10+4+2+2+3+4)/4</f>
        <v>6.25</v>
      </c>
    </row>
    <row r="21" spans="1:4">
      <c r="A21" t="s">
        <v>399</v>
      </c>
      <c r="B21" t="s">
        <v>429</v>
      </c>
      <c r="C21" t="s">
        <v>422</v>
      </c>
      <c r="D21">
        <f>(9+160+4+18+18+12+160+12)/4</f>
        <v>98.25</v>
      </c>
    </row>
    <row r="22" spans="1:4">
      <c r="A22" t="s">
        <v>400</v>
      </c>
      <c r="B22" t="s">
        <v>429</v>
      </c>
      <c r="C22" t="s">
        <v>423</v>
      </c>
      <c r="D22">
        <f>(9+160+8+18+18+16+160+12)/4</f>
        <v>100.25</v>
      </c>
    </row>
    <row r="23" spans="1:4">
      <c r="A23" t="s">
        <v>401</v>
      </c>
      <c r="B23" t="s">
        <v>431</v>
      </c>
      <c r="C23" t="s">
        <v>423</v>
      </c>
      <c r="D23">
        <f>12+8+6</f>
        <v>26</v>
      </c>
    </row>
    <row r="24" spans="1:4">
      <c r="A24" t="s">
        <v>402</v>
      </c>
      <c r="B24" t="s">
        <v>429</v>
      </c>
      <c r="C24" t="s">
        <v>424</v>
      </c>
      <c r="D24">
        <f>(9+160+8+18+18+12+160+12)/4</f>
        <v>99.25</v>
      </c>
    </row>
    <row r="25" spans="1:4">
      <c r="A25" t="s">
        <v>403</v>
      </c>
      <c r="B25" t="s">
        <v>431</v>
      </c>
      <c r="C25" t="s">
        <v>425</v>
      </c>
      <c r="D25">
        <f>252+108</f>
        <v>360</v>
      </c>
    </row>
    <row r="26" spans="1:4">
      <c r="A26" t="s">
        <v>404</v>
      </c>
      <c r="B26" t="s">
        <v>428</v>
      </c>
      <c r="C26" t="s">
        <v>425</v>
      </c>
      <c r="D26">
        <f>100</f>
        <v>100</v>
      </c>
    </row>
    <row r="27" spans="1:4">
      <c r="A27" t="s">
        <v>405</v>
      </c>
      <c r="B27" t="s">
        <v>428</v>
      </c>
      <c r="C27" t="s">
        <v>425</v>
      </c>
      <c r="D27">
        <f>300+18+9</f>
        <v>327</v>
      </c>
    </row>
    <row r="28" spans="1:4">
      <c r="A28" t="s">
        <v>406</v>
      </c>
      <c r="B28" t="s">
        <v>431</v>
      </c>
      <c r="C28" t="s">
        <v>425</v>
      </c>
      <c r="D28">
        <f>60+50+5</f>
        <v>115</v>
      </c>
    </row>
    <row r="29" spans="1:4">
      <c r="A29" t="s">
        <v>407</v>
      </c>
      <c r="B29" t="s">
        <v>429</v>
      </c>
      <c r="C29" t="s">
        <v>425</v>
      </c>
      <c r="D29">
        <f>(32+4+4+4+4+2+27)/4</f>
        <v>19.25</v>
      </c>
    </row>
    <row r="30" spans="1:4">
      <c r="A30" t="s">
        <v>408</v>
      </c>
      <c r="B30" t="s">
        <v>431</v>
      </c>
      <c r="C30" t="s">
        <v>425</v>
      </c>
      <c r="D30">
        <f>122+13+18+18+18+12+12+91</f>
        <v>304</v>
      </c>
    </row>
    <row r="31" spans="1:4">
      <c r="A31" t="s">
        <v>409</v>
      </c>
      <c r="B31" t="s">
        <v>429</v>
      </c>
      <c r="C31" t="s">
        <v>425</v>
      </c>
      <c r="D31">
        <f>(77+19+12+12+12+12+81+6)/4</f>
        <v>57.75</v>
      </c>
    </row>
    <row r="32" spans="1:4">
      <c r="A32" t="s">
        <v>410</v>
      </c>
      <c r="B32" t="s">
        <v>431</v>
      </c>
      <c r="C32" t="s">
        <v>425</v>
      </c>
      <c r="D32">
        <f>30</f>
        <v>30</v>
      </c>
    </row>
    <row r="33" spans="1:4">
      <c r="A33" t="s">
        <v>411</v>
      </c>
      <c r="B33" t="s">
        <v>429</v>
      </c>
      <c r="C33" t="s">
        <v>425</v>
      </c>
      <c r="D33">
        <f>(6+83+27+12+12+12+8+81+27+8)/4</f>
        <v>69</v>
      </c>
    </row>
    <row r="34" spans="1:4">
      <c r="A34" t="s">
        <v>412</v>
      </c>
      <c r="B34" t="s">
        <v>429</v>
      </c>
      <c r="C34" t="s">
        <v>425</v>
      </c>
      <c r="D34">
        <f>(6+110+8+12+12+8+73+35+8)/4</f>
        <v>68</v>
      </c>
    </row>
    <row r="35" spans="1:4">
      <c r="A35" t="s">
        <v>413</v>
      </c>
      <c r="B35" t="s">
        <v>430</v>
      </c>
      <c r="C35" t="s">
        <v>425</v>
      </c>
      <c r="D35">
        <f>12+11</f>
        <v>23</v>
      </c>
    </row>
    <row r="36" spans="1:4">
      <c r="A36" t="s">
        <v>414</v>
      </c>
      <c r="B36" t="s">
        <v>429</v>
      </c>
      <c r="C36" t="s">
        <v>425</v>
      </c>
      <c r="D36">
        <f>(65+12+81)/4</f>
        <v>39.5</v>
      </c>
    </row>
    <row r="37" spans="1:4">
      <c r="A37" t="s">
        <v>415</v>
      </c>
      <c r="B37" t="s">
        <v>429</v>
      </c>
      <c r="C37" t="s">
        <v>425</v>
      </c>
      <c r="D37">
        <f>(65+12+65+16)/4</f>
        <v>39.5</v>
      </c>
    </row>
    <row r="38" spans="1:4">
      <c r="A38" t="s">
        <v>416</v>
      </c>
      <c r="B38" t="s">
        <v>429</v>
      </c>
      <c r="C38" t="s">
        <v>426</v>
      </c>
      <c r="D38">
        <f>(12+126+41+9+18+8+16+18+12+160)/4</f>
        <v>105</v>
      </c>
    </row>
    <row r="39" spans="1:4">
      <c r="A39" t="s">
        <v>417</v>
      </c>
      <c r="B39" t="s">
        <v>429</v>
      </c>
      <c r="C39" t="s">
        <v>427</v>
      </c>
      <c r="D39">
        <f>(25+6+2+27)/4</f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activeCell="E16" sqref="E16"/>
    </sheetView>
  </sheetViews>
  <sheetFormatPr defaultRowHeight="15"/>
  <cols>
    <col min="1" max="1" width="30" bestFit="1" customWidth="1"/>
    <col min="2" max="2" width="12.7109375" bestFit="1" customWidth="1"/>
  </cols>
  <sheetData>
    <row r="1" spans="1:5" s="3" customFormat="1">
      <c r="A1" s="3" t="s">
        <v>221</v>
      </c>
      <c r="B1" s="5" t="s">
        <v>220</v>
      </c>
      <c r="C1" s="3">
        <f>SUM(B:B)</f>
        <v>1520</v>
      </c>
      <c r="D1" s="4" t="s">
        <v>219</v>
      </c>
      <c r="E1" s="3">
        <f>C1/12</f>
        <v>126.66666666666667</v>
      </c>
    </row>
    <row r="2" spans="1:5">
      <c r="A2" t="s">
        <v>432</v>
      </c>
      <c r="B2">
        <f>15+20+1</f>
        <v>36</v>
      </c>
    </row>
    <row r="3" spans="1:5">
      <c r="A3" t="s">
        <v>433</v>
      </c>
      <c r="B3">
        <f t="shared" ref="B3:B4" si="0">15+20+1</f>
        <v>36</v>
      </c>
    </row>
    <row r="4" spans="1:5">
      <c r="A4" t="s">
        <v>434</v>
      </c>
      <c r="B4">
        <f t="shared" si="0"/>
        <v>36</v>
      </c>
    </row>
    <row r="5" spans="1:5">
      <c r="A5" t="s">
        <v>435</v>
      </c>
      <c r="B5">
        <f>6+160+16+18+18+6+2+122+40+12</f>
        <v>400</v>
      </c>
    </row>
    <row r="6" spans="1:5">
      <c r="A6" t="s">
        <v>436</v>
      </c>
      <c r="B6">
        <f>44</f>
        <v>44</v>
      </c>
    </row>
    <row r="7" spans="1:5">
      <c r="A7" t="s">
        <v>437</v>
      </c>
      <c r="B7">
        <f>24</f>
        <v>24</v>
      </c>
    </row>
    <row r="8" spans="1:5">
      <c r="A8" t="s">
        <v>438</v>
      </c>
      <c r="B8">
        <f>24</f>
        <v>24</v>
      </c>
    </row>
    <row r="9" spans="1:5">
      <c r="A9" t="s">
        <v>439</v>
      </c>
      <c r="B9">
        <f>65+12+81</f>
        <v>158</v>
      </c>
    </row>
    <row r="10" spans="1:5">
      <c r="A10" t="s">
        <v>440</v>
      </c>
      <c r="B10">
        <f>73+27+8+10+2+17+40</f>
        <v>177</v>
      </c>
    </row>
    <row r="11" spans="1:5">
      <c r="A11" t="s">
        <v>441</v>
      </c>
      <c r="B11">
        <f>9+161+79+27+163+80+18</f>
        <v>537</v>
      </c>
    </row>
    <row r="12" spans="1:5">
      <c r="A12" t="s">
        <v>442</v>
      </c>
      <c r="B12">
        <f>48</f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Chinese LCUs</vt:lpstr>
      <vt:lpstr>Dutch LCUs</vt:lpstr>
      <vt:lpstr>Malaya LCUs</vt:lpstr>
      <vt:lpstr>Luzon LCUs</vt:lpstr>
      <vt:lpstr>Phillipine Army Reinforcements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Cliff</dc:creator>
  <cp:lastModifiedBy>Cliff</cp:lastModifiedBy>
  <dcterms:created xsi:type="dcterms:W3CDTF">2014-09-12T19:37:46Z</dcterms:created>
  <dcterms:modified xsi:type="dcterms:W3CDTF">2014-09-12T21:37:05Z</dcterms:modified>
</cp:coreProperties>
</file>